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885" yWindow="735" windowWidth="19320" windowHeight="10230" tabRatio="599" firstSheet="21" activeTab="23"/>
  </bookViews>
  <sheets>
    <sheet name="فهرست مطالب" sheetId="35" r:id="rId1"/>
    <sheet name="فروش - محصول A" sheetId="1" r:id="rId2"/>
    <sheet name="فروش محصول B" sheetId="2" r:id="rId3"/>
    <sheet name="فروش محصول C" sheetId="3" r:id="rId4"/>
    <sheet name="فروش محصولات " sheetId="4" r:id="rId5"/>
    <sheet name="گردش قیمت تمام شده - محصولات" sheetId="10" r:id="rId6"/>
    <sheet name="هزینه سربار تولیدی " sheetId="11" r:id="rId7"/>
    <sheet name="هزینه اداری " sheetId="13" r:id="rId8"/>
    <sheet name="دستمزد مستقیم" sheetId="12" r:id="rId9"/>
    <sheet name="دستمزد پروژه " sheetId="38" r:id="rId10"/>
    <sheet name="توزیع و فروش " sheetId="14" r:id="rId11"/>
    <sheet name="جدول دارایی های ثابت مشهود " sheetId="15" r:id="rId12"/>
    <sheet name="سود و زیان " sheetId="16" r:id="rId13"/>
    <sheet name="ترازنامه" sheetId="18" r:id="rId14"/>
    <sheet name="گردش جریان وجه نقد" sheetId="19" r:id="rId15"/>
    <sheet name="اطاعات تفصیلی سال قبل" sheetId="21" r:id="rId16"/>
    <sheet name="bom" sheetId="23" r:id="rId17"/>
    <sheet name="یاداشت های سال قبل" sheetId="20" r:id="rId18"/>
    <sheet name="گردش توليد و مواد ( A)" sheetId="22" r:id="rId19"/>
    <sheet name="گردش توليد و مواد B" sheetId="24" r:id="rId20"/>
    <sheet name="گردش توليد و مواد C" sheetId="25" r:id="rId21"/>
    <sheet name="جدول نقدینگی - خرید کل " sheetId="28" r:id="rId22"/>
    <sheet name="نیاز مواد اولیه - مقادیر" sheetId="26" r:id="rId23"/>
    <sheet name="نسبت های مالی " sheetId="27" r:id="rId24"/>
    <sheet name="وام " sheetId="29" r:id="rId25"/>
    <sheet name="مراکز هزینه پرسنل" sheetId="30" r:id="rId26"/>
    <sheet name="محاسبه پایه حقوقی" sheetId="31" r:id="rId27"/>
    <sheet name="محاسبه اضافه کاری" sheetId="33" r:id="rId28"/>
    <sheet name="سایر مزایا " sheetId="34" r:id="rId29"/>
    <sheet name="موجودی کالا" sheetId="36" r:id="rId30"/>
    <sheet name="جریان وجه نقد استاندارد" sheetId="37" r:id="rId31"/>
    <sheet name="بیمه اموال و دارایی ها " sheetId="39" r:id="rId32"/>
  </sheets>
  <calcPr calcId="124519"/>
</workbook>
</file>

<file path=xl/calcChain.xml><?xml version="1.0" encoding="utf-8"?>
<calcChain xmlns="http://schemas.openxmlformats.org/spreadsheetml/2006/main">
  <c r="F10" i="19"/>
  <c r="G10"/>
  <c r="Q23" i="18"/>
  <c r="E17" i="19"/>
  <c r="F17"/>
  <c r="G17"/>
  <c r="H17"/>
  <c r="I17"/>
  <c r="J17"/>
  <c r="M17"/>
  <c r="O17"/>
  <c r="C9" i="25"/>
  <c r="C9" i="24"/>
  <c r="C9" i="22"/>
  <c r="N9" i="15"/>
  <c r="D32" i="30"/>
  <c r="E32"/>
  <c r="F32"/>
  <c r="G32"/>
  <c r="H32"/>
  <c r="I32"/>
  <c r="J32"/>
  <c r="K32"/>
  <c r="L32"/>
  <c r="M32"/>
  <c r="N32"/>
  <c r="O32"/>
  <c r="E20" i="19"/>
  <c r="F20"/>
  <c r="G20"/>
  <c r="H20"/>
  <c r="I20"/>
  <c r="J20"/>
  <c r="K20"/>
  <c r="L20"/>
  <c r="M20"/>
  <c r="N20"/>
  <c r="O20"/>
  <c r="P20"/>
  <c r="J32" i="33"/>
  <c r="N29" i="14"/>
  <c r="I23" i="11"/>
  <c r="F13" i="19"/>
  <c r="G13"/>
  <c r="H13"/>
  <c r="I13"/>
  <c r="J13"/>
  <c r="K13"/>
  <c r="D26" i="30"/>
  <c r="E26"/>
  <c r="F26"/>
  <c r="G26"/>
  <c r="H26"/>
  <c r="I26"/>
  <c r="J26"/>
  <c r="K26"/>
  <c r="L26"/>
  <c r="M26"/>
  <c r="N26"/>
  <c r="O26"/>
  <c r="D20"/>
  <c r="E20"/>
  <c r="F20"/>
  <c r="G20"/>
  <c r="H20"/>
  <c r="I20"/>
  <c r="J20"/>
  <c r="K20"/>
  <c r="L20"/>
  <c r="M20"/>
  <c r="N20"/>
  <c r="O20"/>
  <c r="D14"/>
  <c r="E14"/>
  <c r="F14"/>
  <c r="G14"/>
  <c r="H14"/>
  <c r="I14"/>
  <c r="J14"/>
  <c r="K14"/>
  <c r="L14"/>
  <c r="M14"/>
  <c r="N14"/>
  <c r="O14"/>
  <c r="D8"/>
  <c r="E8"/>
  <c r="F8"/>
  <c r="G8"/>
  <c r="H8"/>
  <c r="I8"/>
  <c r="J8"/>
  <c r="Q22" i="18"/>
  <c r="Q13"/>
  <c r="Q10"/>
  <c r="M26" i="19"/>
  <c r="E25"/>
  <c r="E24"/>
  <c r="H25"/>
  <c r="H24"/>
  <c r="K25"/>
  <c r="K24"/>
  <c r="N25"/>
  <c r="E22"/>
  <c r="E21"/>
  <c r="N10"/>
  <c r="M10" s="1"/>
  <c r="L10" s="1"/>
  <c r="K10" s="1"/>
  <c r="J10" s="1"/>
  <c r="I10" s="1"/>
  <c r="H10" s="1"/>
  <c r="O10"/>
  <c r="P10"/>
  <c r="E7"/>
  <c r="F7"/>
  <c r="G7"/>
  <c r="H7"/>
  <c r="I7"/>
  <c r="J7"/>
  <c r="K7"/>
  <c r="L7"/>
  <c r="M7"/>
  <c r="N7"/>
  <c r="O7"/>
  <c r="P7"/>
  <c r="P6"/>
  <c r="L33" i="18"/>
  <c r="L32"/>
  <c r="L31"/>
  <c r="L23"/>
  <c r="L22"/>
  <c r="L14"/>
  <c r="L13"/>
  <c r="L12"/>
  <c r="L9"/>
  <c r="R22"/>
  <c r="R21"/>
  <c r="R14"/>
  <c r="R13"/>
  <c r="R11"/>
  <c r="R10"/>
  <c r="R9"/>
  <c r="J37" i="16"/>
  <c r="D23" i="19"/>
  <c r="A47" i="33"/>
  <c r="A37"/>
  <c r="A27"/>
  <c r="A17"/>
  <c r="A6"/>
  <c r="D15" i="12"/>
  <c r="E15"/>
  <c r="F15"/>
  <c r="G15"/>
  <c r="H15"/>
  <c r="I15"/>
  <c r="J15"/>
  <c r="K15"/>
  <c r="L15"/>
  <c r="M15"/>
  <c r="N15"/>
  <c r="O15"/>
  <c r="D13"/>
  <c r="E13"/>
  <c r="F13"/>
  <c r="G13"/>
  <c r="H13"/>
  <c r="I13"/>
  <c r="J13"/>
  <c r="K13"/>
  <c r="L13"/>
  <c r="M13"/>
  <c r="N13"/>
  <c r="O13"/>
  <c r="D12"/>
  <c r="E12"/>
  <c r="F12"/>
  <c r="G12"/>
  <c r="H12"/>
  <c r="I12"/>
  <c r="J12"/>
  <c r="K12"/>
  <c r="L12"/>
  <c r="M12"/>
  <c r="N12"/>
  <c r="O12"/>
  <c r="M84" i="26"/>
  <c r="N14" i="23"/>
  <c r="M6" i="36"/>
  <c r="L16" i="34"/>
  <c r="T25" i="31" s="1"/>
  <c r="L8" i="34"/>
  <c r="C17" i="25"/>
  <c r="L13" i="23"/>
  <c r="D46" i="38"/>
  <c r="E46"/>
  <c r="F46"/>
  <c r="G46"/>
  <c r="H46"/>
  <c r="I46"/>
  <c r="J46"/>
  <c r="K46"/>
  <c r="L46"/>
  <c r="M46"/>
  <c r="N46"/>
  <c r="O46"/>
  <c r="T26"/>
  <c r="V26"/>
  <c r="X26"/>
  <c r="Z26"/>
  <c r="AB26"/>
  <c r="AD26"/>
  <c r="AF26"/>
  <c r="AH26"/>
  <c r="AJ26"/>
  <c r="AL26"/>
  <c r="AN26"/>
  <c r="AP26"/>
  <c r="K36" i="39"/>
  <c r="L11" i="34"/>
  <c r="D34" i="30"/>
  <c r="E34"/>
  <c r="F34"/>
  <c r="G34"/>
  <c r="H34"/>
  <c r="I34"/>
  <c r="J34"/>
  <c r="K34"/>
  <c r="L34"/>
  <c r="M34"/>
  <c r="N34"/>
  <c r="O34"/>
  <c r="D47" i="38"/>
  <c r="E47"/>
  <c r="F47"/>
  <c r="G47"/>
  <c r="H47"/>
  <c r="I47"/>
  <c r="J47"/>
  <c r="K47"/>
  <c r="L47"/>
  <c r="M47"/>
  <c r="N47"/>
  <c r="D48"/>
  <c r="E48"/>
  <c r="F48"/>
  <c r="G48"/>
  <c r="H48"/>
  <c r="I48"/>
  <c r="J48"/>
  <c r="K48"/>
  <c r="L48"/>
  <c r="M48"/>
  <c r="N48"/>
  <c r="O48"/>
  <c r="O47"/>
  <c r="C35"/>
  <c r="C47" s="1"/>
  <c r="T9" i="15" s="1"/>
  <c r="C36" i="38"/>
  <c r="C48" s="1"/>
  <c r="T10" i="15" s="1"/>
  <c r="N10" s="1"/>
  <c r="C37" i="38"/>
  <c r="D38"/>
  <c r="E38"/>
  <c r="F38"/>
  <c r="G38"/>
  <c r="H38"/>
  <c r="I38"/>
  <c r="J38"/>
  <c r="K38"/>
  <c r="L38"/>
  <c r="M38"/>
  <c r="N38"/>
  <c r="O38"/>
  <c r="C41"/>
  <c r="C31"/>
  <c r="C32"/>
  <c r="C33"/>
  <c r="C34"/>
  <c r="C46" s="1"/>
  <c r="T11" i="15" s="1"/>
  <c r="N11" s="1"/>
  <c r="C30" i="38"/>
  <c r="D29"/>
  <c r="D41" s="1"/>
  <c r="E29"/>
  <c r="E41" s="1"/>
  <c r="F29"/>
  <c r="F41" s="1"/>
  <c r="G29"/>
  <c r="G41" s="1"/>
  <c r="H29"/>
  <c r="H41" s="1"/>
  <c r="I29"/>
  <c r="I41" s="1"/>
  <c r="J29"/>
  <c r="J41" s="1"/>
  <c r="K29"/>
  <c r="K41" s="1"/>
  <c r="L29"/>
  <c r="L41" s="1"/>
  <c r="M29"/>
  <c r="M41" s="1"/>
  <c r="N29"/>
  <c r="N41" s="1"/>
  <c r="O29"/>
  <c r="O41" s="1"/>
  <c r="C19"/>
  <c r="C28" s="1"/>
  <c r="C40" s="1"/>
  <c r="D19"/>
  <c r="D28" s="1"/>
  <c r="D40" s="1"/>
  <c r="E19"/>
  <c r="E28" s="1"/>
  <c r="E40" s="1"/>
  <c r="F19"/>
  <c r="F28" s="1"/>
  <c r="F40" s="1"/>
  <c r="G19"/>
  <c r="G28" s="1"/>
  <c r="G40" s="1"/>
  <c r="H19"/>
  <c r="H28" s="1"/>
  <c r="H40" s="1"/>
  <c r="I19"/>
  <c r="I28" s="1"/>
  <c r="I40" s="1"/>
  <c r="J19"/>
  <c r="J28" s="1"/>
  <c r="J40" s="1"/>
  <c r="K19"/>
  <c r="K28" s="1"/>
  <c r="K40" s="1"/>
  <c r="L19"/>
  <c r="L28" s="1"/>
  <c r="L40" s="1"/>
  <c r="M19"/>
  <c r="M28" s="1"/>
  <c r="M40" s="1"/>
  <c r="N19"/>
  <c r="N28" s="1"/>
  <c r="N40" s="1"/>
  <c r="O19"/>
  <c r="O28" s="1"/>
  <c r="O40" s="1"/>
  <c r="C12"/>
  <c r="J115" i="20"/>
  <c r="D7" i="30"/>
  <c r="E7"/>
  <c r="F7"/>
  <c r="G7"/>
  <c r="H7"/>
  <c r="I7"/>
  <c r="J7"/>
  <c r="K7"/>
  <c r="K8" s="1"/>
  <c r="L7"/>
  <c r="L8" s="1"/>
  <c r="M7"/>
  <c r="M8" s="1"/>
  <c r="N7"/>
  <c r="N8" s="1"/>
  <c r="G63" i="37"/>
  <c r="G57"/>
  <c r="G21"/>
  <c r="G20"/>
  <c r="G19"/>
  <c r="G18"/>
  <c r="G15"/>
  <c r="G14"/>
  <c r="E10" i="19" l="1"/>
  <c r="C13" i="12"/>
  <c r="C15"/>
  <c r="C12"/>
  <c r="L13" i="34"/>
  <c r="T7" i="31"/>
  <c r="T19"/>
  <c r="T31"/>
  <c r="L17" i="34"/>
  <c r="L14" s="1"/>
  <c r="L15" s="1"/>
  <c r="L12"/>
  <c r="T13" i="31"/>
  <c r="C38" i="38"/>
  <c r="K31" i="18"/>
  <c r="K22"/>
  <c r="C12" i="14"/>
  <c r="L20" i="34"/>
  <c r="D9" i="14"/>
  <c r="E9"/>
  <c r="F9"/>
  <c r="G9"/>
  <c r="H9"/>
  <c r="I9"/>
  <c r="J9"/>
  <c r="K9"/>
  <c r="L9"/>
  <c r="M9"/>
  <c r="N9"/>
  <c r="O9"/>
  <c r="D9" i="12"/>
  <c r="E9"/>
  <c r="F9"/>
  <c r="G9"/>
  <c r="H9"/>
  <c r="I9"/>
  <c r="J9"/>
  <c r="K9"/>
  <c r="L9"/>
  <c r="M9"/>
  <c r="N9"/>
  <c r="D9" i="13"/>
  <c r="E9"/>
  <c r="F9"/>
  <c r="G9"/>
  <c r="H9"/>
  <c r="I9"/>
  <c r="J9"/>
  <c r="K9"/>
  <c r="L9"/>
  <c r="M9"/>
  <c r="N9"/>
  <c r="O9"/>
  <c r="D9" i="11"/>
  <c r="E9"/>
  <c r="F9"/>
  <c r="G9"/>
  <c r="H9"/>
  <c r="I9"/>
  <c r="J9"/>
  <c r="K9"/>
  <c r="L9"/>
  <c r="M9"/>
  <c r="N9"/>
  <c r="O9"/>
  <c r="C26" i="30"/>
  <c r="B26" s="1"/>
  <c r="C20"/>
  <c r="B20" s="1"/>
  <c r="C14"/>
  <c r="B14" s="1"/>
  <c r="L9" i="34"/>
  <c r="B51" i="33"/>
  <c r="C51"/>
  <c r="D51"/>
  <c r="E51"/>
  <c r="F51"/>
  <c r="G51"/>
  <c r="H51"/>
  <c r="I51"/>
  <c r="J51"/>
  <c r="K51"/>
  <c r="L51"/>
  <c r="M51"/>
  <c r="B41"/>
  <c r="C41"/>
  <c r="D41"/>
  <c r="E41"/>
  <c r="F41"/>
  <c r="G41"/>
  <c r="H41"/>
  <c r="I41"/>
  <c r="J41"/>
  <c r="K41"/>
  <c r="L41"/>
  <c r="M41"/>
  <c r="B12"/>
  <c r="C12"/>
  <c r="D12"/>
  <c r="E12"/>
  <c r="F12"/>
  <c r="G12"/>
  <c r="H12"/>
  <c r="I12"/>
  <c r="J12"/>
  <c r="K12"/>
  <c r="L12"/>
  <c r="M12"/>
  <c r="C30" i="30"/>
  <c r="B30" s="1"/>
  <c r="C29"/>
  <c r="B29" s="1"/>
  <c r="C24"/>
  <c r="B24" s="1"/>
  <c r="C23"/>
  <c r="B23" s="1"/>
  <c r="C18"/>
  <c r="B18" s="1"/>
  <c r="C17"/>
  <c r="B17" s="1"/>
  <c r="C12"/>
  <c r="B12" s="1"/>
  <c r="C11"/>
  <c r="B11" s="1"/>
  <c r="C6"/>
  <c r="B6" s="1"/>
  <c r="C5"/>
  <c r="B5" s="1"/>
  <c r="C12" i="13"/>
  <c r="D35" i="30"/>
  <c r="E35"/>
  <c r="F35"/>
  <c r="G35"/>
  <c r="H35"/>
  <c r="I35"/>
  <c r="J35"/>
  <c r="K35"/>
  <c r="L35"/>
  <c r="M35"/>
  <c r="N35"/>
  <c r="O35"/>
  <c r="T30" i="31"/>
  <c r="O30" s="1"/>
  <c r="N30" s="1"/>
  <c r="M30" s="1"/>
  <c r="L30" s="1"/>
  <c r="K30" s="1"/>
  <c r="J30" s="1"/>
  <c r="I30" s="1"/>
  <c r="H30" s="1"/>
  <c r="G30" s="1"/>
  <c r="F30" s="1"/>
  <c r="E30" s="1"/>
  <c r="D30" s="1"/>
  <c r="T24"/>
  <c r="O24" s="1"/>
  <c r="N24" s="1"/>
  <c r="M24" s="1"/>
  <c r="L24" s="1"/>
  <c r="K24" s="1"/>
  <c r="J24" s="1"/>
  <c r="I24" s="1"/>
  <c r="H24" s="1"/>
  <c r="G24" s="1"/>
  <c r="F24" s="1"/>
  <c r="E24" s="1"/>
  <c r="D24" s="1"/>
  <c r="T18"/>
  <c r="O18" s="1"/>
  <c r="N18" s="1"/>
  <c r="T12"/>
  <c r="O12" s="1"/>
  <c r="N12" s="1"/>
  <c r="M12" s="1"/>
  <c r="L12" s="1"/>
  <c r="K12" s="1"/>
  <c r="J12" s="1"/>
  <c r="I12" s="1"/>
  <c r="H12" s="1"/>
  <c r="G12" s="1"/>
  <c r="F12" s="1"/>
  <c r="E12" s="1"/>
  <c r="D12" s="1"/>
  <c r="T6"/>
  <c r="O6" s="1"/>
  <c r="N6" s="1"/>
  <c r="M6" s="1"/>
  <c r="L6" s="1"/>
  <c r="K6" s="1"/>
  <c r="J6" s="1"/>
  <c r="I6" s="1"/>
  <c r="H6" s="1"/>
  <c r="G6" s="1"/>
  <c r="F6" s="1"/>
  <c r="E6" s="1"/>
  <c r="D6" s="1"/>
  <c r="D31" i="30"/>
  <c r="D9" i="38" s="1"/>
  <c r="E31" i="30"/>
  <c r="E9" i="38" s="1"/>
  <c r="F31" i="30"/>
  <c r="F9" i="38" s="1"/>
  <c r="G31" i="30"/>
  <c r="G9" i="38" s="1"/>
  <c r="H31" i="30"/>
  <c r="H9" i="38" s="1"/>
  <c r="I31" i="30"/>
  <c r="I9" i="38" s="1"/>
  <c r="J31" i="30"/>
  <c r="J9" i="38" s="1"/>
  <c r="K31" i="30"/>
  <c r="K9" i="38" s="1"/>
  <c r="L31" i="30"/>
  <c r="L9" i="38" s="1"/>
  <c r="M31" i="30"/>
  <c r="M9" i="38" s="1"/>
  <c r="N31" i="30"/>
  <c r="N9" i="38" s="1"/>
  <c r="O31" i="30"/>
  <c r="O9" i="38" s="1"/>
  <c r="D25" i="30"/>
  <c r="D25" i="31" s="1"/>
  <c r="E25" i="30"/>
  <c r="E25" i="31" s="1"/>
  <c r="F25" i="30"/>
  <c r="F25" i="31" s="1"/>
  <c r="G25" i="30"/>
  <c r="G25" i="31" s="1"/>
  <c r="H25" i="30"/>
  <c r="H25" i="31" s="1"/>
  <c r="I25" i="30"/>
  <c r="I25" i="31" s="1"/>
  <c r="J25" i="30"/>
  <c r="J25" i="31" s="1"/>
  <c r="K25" i="30"/>
  <c r="K25" i="31" s="1"/>
  <c r="L25" i="30"/>
  <c r="L25" i="31" s="1"/>
  <c r="M25" i="30"/>
  <c r="M25" i="31" s="1"/>
  <c r="N25" i="30"/>
  <c r="N25" i="31" s="1"/>
  <c r="O25" i="30"/>
  <c r="O25" i="31" s="1"/>
  <c r="D19" i="30"/>
  <c r="D19" i="31" s="1"/>
  <c r="E19" i="30"/>
  <c r="E19" i="31" s="1"/>
  <c r="F19" i="30"/>
  <c r="F19" i="31" s="1"/>
  <c r="G19" i="30"/>
  <c r="G19" i="31" s="1"/>
  <c r="H19" i="30"/>
  <c r="H19" i="31" s="1"/>
  <c r="I19" i="30"/>
  <c r="I19" i="31" s="1"/>
  <c r="J19" i="30"/>
  <c r="J19" i="31" s="1"/>
  <c r="K19" i="30"/>
  <c r="K19" i="31" s="1"/>
  <c r="L19" i="30"/>
  <c r="L19" i="31" s="1"/>
  <c r="M19" i="30"/>
  <c r="M19" i="31" s="1"/>
  <c r="N19" i="30"/>
  <c r="N19" i="31" s="1"/>
  <c r="O19" i="30"/>
  <c r="O19" i="31" s="1"/>
  <c r="O20" s="1"/>
  <c r="O5" i="13" s="1"/>
  <c r="D13" i="30"/>
  <c r="D13" i="31" s="1"/>
  <c r="E13" i="30"/>
  <c r="E13" i="31" s="1"/>
  <c r="F13" i="30"/>
  <c r="F13" i="31" s="1"/>
  <c r="G13" i="30"/>
  <c r="G13" i="31" s="1"/>
  <c r="H13" i="30"/>
  <c r="H13" i="31" s="1"/>
  <c r="I13" i="30"/>
  <c r="I13" i="31" s="1"/>
  <c r="J13" i="30"/>
  <c r="J13" i="31" s="1"/>
  <c r="K13" i="30"/>
  <c r="K13" i="31" s="1"/>
  <c r="L13" i="30"/>
  <c r="L13" i="31" s="1"/>
  <c r="M13" i="30"/>
  <c r="M13" i="31" s="1"/>
  <c r="N13" i="30"/>
  <c r="N13" i="31" s="1"/>
  <c r="O13" i="30"/>
  <c r="O13" i="31" s="1"/>
  <c r="D36" i="30"/>
  <c r="E7" i="31"/>
  <c r="F36" i="30"/>
  <c r="G7" i="31"/>
  <c r="H36" i="30"/>
  <c r="I7" i="31"/>
  <c r="J36" i="30"/>
  <c r="K7" i="31"/>
  <c r="L36" i="30"/>
  <c r="M7" i="31"/>
  <c r="N36" i="30"/>
  <c r="O7"/>
  <c r="E29" i="19"/>
  <c r="F29"/>
  <c r="G29"/>
  <c r="H29"/>
  <c r="I29"/>
  <c r="J29"/>
  <c r="K29"/>
  <c r="L29"/>
  <c r="M29"/>
  <c r="N29"/>
  <c r="O29"/>
  <c r="P29"/>
  <c r="N80" i="29"/>
  <c r="N79"/>
  <c r="N78"/>
  <c r="N77"/>
  <c r="N76"/>
  <c r="A76"/>
  <c r="B72"/>
  <c r="B74"/>
  <c r="B71"/>
  <c r="N74"/>
  <c r="N73"/>
  <c r="N72"/>
  <c r="A72"/>
  <c r="N71"/>
  <c r="A71"/>
  <c r="N70"/>
  <c r="A70"/>
  <c r="C68"/>
  <c r="C66"/>
  <c r="B65"/>
  <c r="C65"/>
  <c r="N68"/>
  <c r="N67"/>
  <c r="N66"/>
  <c r="N65"/>
  <c r="N64"/>
  <c r="A64"/>
  <c r="D60"/>
  <c r="D62"/>
  <c r="F48"/>
  <c r="B59"/>
  <c r="C59"/>
  <c r="D59"/>
  <c r="E54"/>
  <c r="B53"/>
  <c r="C53"/>
  <c r="D53"/>
  <c r="E53"/>
  <c r="B47"/>
  <c r="C47"/>
  <c r="D47"/>
  <c r="E47"/>
  <c r="F47"/>
  <c r="G42"/>
  <c r="B41"/>
  <c r="C41"/>
  <c r="D41"/>
  <c r="E41"/>
  <c r="F41"/>
  <c r="G41"/>
  <c r="B35"/>
  <c r="C35"/>
  <c r="D35"/>
  <c r="E35"/>
  <c r="F35"/>
  <c r="G35"/>
  <c r="H35"/>
  <c r="H36"/>
  <c r="I30"/>
  <c r="J24"/>
  <c r="B29"/>
  <c r="C29"/>
  <c r="D29"/>
  <c r="E29"/>
  <c r="F29"/>
  <c r="G29"/>
  <c r="H29"/>
  <c r="I29"/>
  <c r="B23"/>
  <c r="C23"/>
  <c r="D23"/>
  <c r="E23"/>
  <c r="F23"/>
  <c r="G23"/>
  <c r="H23"/>
  <c r="I23"/>
  <c r="J23"/>
  <c r="N16"/>
  <c r="N22" s="1"/>
  <c r="N28" s="1"/>
  <c r="N34" s="1"/>
  <c r="N40" s="1"/>
  <c r="N46" s="1"/>
  <c r="N52" s="1"/>
  <c r="N58" s="1"/>
  <c r="N10"/>
  <c r="L12"/>
  <c r="B17"/>
  <c r="C17"/>
  <c r="D17"/>
  <c r="E17"/>
  <c r="F17"/>
  <c r="G17"/>
  <c r="H17"/>
  <c r="I17"/>
  <c r="J17"/>
  <c r="K17"/>
  <c r="K18"/>
  <c r="N20"/>
  <c r="N26" s="1"/>
  <c r="N32" s="1"/>
  <c r="N38" s="1"/>
  <c r="N44" s="1"/>
  <c r="N50" s="1"/>
  <c r="N56" s="1"/>
  <c r="N62" s="1"/>
  <c r="N18"/>
  <c r="N24" s="1"/>
  <c r="N30" s="1"/>
  <c r="N36" s="1"/>
  <c r="N42" s="1"/>
  <c r="N48" s="1"/>
  <c r="N54" s="1"/>
  <c r="N60" s="1"/>
  <c r="A16"/>
  <c r="A22" s="1"/>
  <c r="A28" s="1"/>
  <c r="A34" s="1"/>
  <c r="A40" s="1"/>
  <c r="A46" s="1"/>
  <c r="A52" s="1"/>
  <c r="A58" s="1"/>
  <c r="A10"/>
  <c r="B11"/>
  <c r="C11"/>
  <c r="D11"/>
  <c r="E11"/>
  <c r="F11"/>
  <c r="G11"/>
  <c r="H11"/>
  <c r="I11"/>
  <c r="J11"/>
  <c r="K11"/>
  <c r="L11"/>
  <c r="N12"/>
  <c r="N13"/>
  <c r="N19" s="1"/>
  <c r="N25" s="1"/>
  <c r="N31" s="1"/>
  <c r="N37" s="1"/>
  <c r="N43" s="1"/>
  <c r="N49" s="1"/>
  <c r="N55" s="1"/>
  <c r="N61" s="1"/>
  <c r="N14"/>
  <c r="N11"/>
  <c r="N17" s="1"/>
  <c r="N23" s="1"/>
  <c r="N29" s="1"/>
  <c r="N35" s="1"/>
  <c r="N41" s="1"/>
  <c r="N47" s="1"/>
  <c r="N53" s="1"/>
  <c r="N59" s="1"/>
  <c r="M6"/>
  <c r="M5"/>
  <c r="P8" i="25"/>
  <c r="D8" s="1"/>
  <c r="P8" i="24"/>
  <c r="D8" s="1"/>
  <c r="D40"/>
  <c r="I67" i="21"/>
  <c r="J67"/>
  <c r="K67"/>
  <c r="L67"/>
  <c r="M67"/>
  <c r="N67"/>
  <c r="O67"/>
  <c r="P67"/>
  <c r="Q67"/>
  <c r="R67"/>
  <c r="S67"/>
  <c r="T67"/>
  <c r="U67"/>
  <c r="C22" i="11"/>
  <c r="C23"/>
  <c r="C21"/>
  <c r="P8" i="22"/>
  <c r="C15" i="4"/>
  <c r="E15"/>
  <c r="F15"/>
  <c r="G15"/>
  <c r="H15"/>
  <c r="I15"/>
  <c r="J15"/>
  <c r="K15"/>
  <c r="L15"/>
  <c r="M15"/>
  <c r="P15"/>
  <c r="C16"/>
  <c r="E16"/>
  <c r="F16"/>
  <c r="G16"/>
  <c r="H16"/>
  <c r="I16"/>
  <c r="J16"/>
  <c r="K16"/>
  <c r="L16"/>
  <c r="O16"/>
  <c r="P16"/>
  <c r="C17"/>
  <c r="E17"/>
  <c r="F17"/>
  <c r="G17"/>
  <c r="H17"/>
  <c r="I17"/>
  <c r="J17"/>
  <c r="K17"/>
  <c r="N17"/>
  <c r="O17"/>
  <c r="P17"/>
  <c r="C18"/>
  <c r="E18"/>
  <c r="F18"/>
  <c r="G18"/>
  <c r="H18"/>
  <c r="I18"/>
  <c r="J18"/>
  <c r="M18"/>
  <c r="N18"/>
  <c r="O18"/>
  <c r="P18"/>
  <c r="C19"/>
  <c r="E19"/>
  <c r="F19"/>
  <c r="G19"/>
  <c r="H19"/>
  <c r="I19"/>
  <c r="L19"/>
  <c r="M19"/>
  <c r="N19"/>
  <c r="O19"/>
  <c r="P19"/>
  <c r="C20"/>
  <c r="E20"/>
  <c r="F20"/>
  <c r="G20"/>
  <c r="H20"/>
  <c r="K20"/>
  <c r="L20"/>
  <c r="M20"/>
  <c r="N20"/>
  <c r="O20"/>
  <c r="P20"/>
  <c r="C21"/>
  <c r="E21"/>
  <c r="F21"/>
  <c r="G21"/>
  <c r="J21"/>
  <c r="K21"/>
  <c r="L21"/>
  <c r="M21"/>
  <c r="N21"/>
  <c r="O21"/>
  <c r="P21"/>
  <c r="C22"/>
  <c r="E22"/>
  <c r="F22"/>
  <c r="I22"/>
  <c r="J22"/>
  <c r="K22"/>
  <c r="L22"/>
  <c r="M22"/>
  <c r="N22"/>
  <c r="O22"/>
  <c r="P22"/>
  <c r="C23"/>
  <c r="E23"/>
  <c r="H23"/>
  <c r="I23"/>
  <c r="J23"/>
  <c r="K23"/>
  <c r="L23"/>
  <c r="M23"/>
  <c r="N23"/>
  <c r="O23"/>
  <c r="P23"/>
  <c r="C24"/>
  <c r="G24"/>
  <c r="H24"/>
  <c r="I24"/>
  <c r="J24"/>
  <c r="K24"/>
  <c r="L24"/>
  <c r="M24"/>
  <c r="N24"/>
  <c r="O24"/>
  <c r="P24"/>
  <c r="F25"/>
  <c r="G25"/>
  <c r="H25"/>
  <c r="I25"/>
  <c r="J25"/>
  <c r="K25"/>
  <c r="L25"/>
  <c r="M25"/>
  <c r="N25"/>
  <c r="O25"/>
  <c r="P25"/>
  <c r="C14"/>
  <c r="E14"/>
  <c r="F14"/>
  <c r="G14"/>
  <c r="H14"/>
  <c r="I14"/>
  <c r="J14"/>
  <c r="K14"/>
  <c r="L14"/>
  <c r="M14"/>
  <c r="N14"/>
  <c r="P14" i="3"/>
  <c r="O14"/>
  <c r="N14"/>
  <c r="M14"/>
  <c r="L14"/>
  <c r="K14"/>
  <c r="J14"/>
  <c r="I14"/>
  <c r="H14"/>
  <c r="G14"/>
  <c r="F14"/>
  <c r="E14"/>
  <c r="D14"/>
  <c r="P8"/>
  <c r="O8"/>
  <c r="N8"/>
  <c r="M8"/>
  <c r="L8"/>
  <c r="K8"/>
  <c r="J8"/>
  <c r="I8"/>
  <c r="H8"/>
  <c r="G8"/>
  <c r="F8"/>
  <c r="E8"/>
  <c r="P7"/>
  <c r="P12" i="25" s="1"/>
  <c r="O7" i="3"/>
  <c r="O9" s="1"/>
  <c r="N7"/>
  <c r="N12" i="25" s="1"/>
  <c r="M7" i="3"/>
  <c r="M9" s="1"/>
  <c r="L7"/>
  <c r="L12" i="25" s="1"/>
  <c r="K7" i="3"/>
  <c r="K9" s="1"/>
  <c r="J7"/>
  <c r="J12" i="25" s="1"/>
  <c r="I7" i="3"/>
  <c r="I9" s="1"/>
  <c r="H7"/>
  <c r="H12" i="25" s="1"/>
  <c r="G7" i="3"/>
  <c r="G9" s="1"/>
  <c r="F7"/>
  <c r="F12" i="25" s="1"/>
  <c r="E7" i="3"/>
  <c r="E9" s="1"/>
  <c r="P14" i="2"/>
  <c r="O14"/>
  <c r="N14"/>
  <c r="M14"/>
  <c r="L14"/>
  <c r="K14"/>
  <c r="J14"/>
  <c r="I14"/>
  <c r="H14"/>
  <c r="G14"/>
  <c r="F14"/>
  <c r="E14"/>
  <c r="D14"/>
  <c r="P8"/>
  <c r="O8"/>
  <c r="N8"/>
  <c r="M8"/>
  <c r="L8"/>
  <c r="K8"/>
  <c r="J8"/>
  <c r="I8"/>
  <c r="H8"/>
  <c r="G8"/>
  <c r="F8"/>
  <c r="E8"/>
  <c r="P7"/>
  <c r="P12" i="24" s="1"/>
  <c r="O7" i="2"/>
  <c r="O9" s="1"/>
  <c r="N7"/>
  <c r="N12" i="24" s="1"/>
  <c r="M7" i="2"/>
  <c r="M9" s="1"/>
  <c r="L7"/>
  <c r="L12" i="24" s="1"/>
  <c r="K7" i="2"/>
  <c r="K9" s="1"/>
  <c r="J7"/>
  <c r="J12" i="24" s="1"/>
  <c r="I7" i="2"/>
  <c r="I9" s="1"/>
  <c r="H7"/>
  <c r="H12" i="24" s="1"/>
  <c r="G7" i="2"/>
  <c r="G9" s="1"/>
  <c r="F7"/>
  <c r="F12" i="24" s="1"/>
  <c r="E7" i="2"/>
  <c r="E9" s="1"/>
  <c r="E8" i="1"/>
  <c r="F8"/>
  <c r="G8"/>
  <c r="H8"/>
  <c r="I8"/>
  <c r="J8"/>
  <c r="K8"/>
  <c r="L8"/>
  <c r="M8"/>
  <c r="N8"/>
  <c r="O8"/>
  <c r="P8"/>
  <c r="P7"/>
  <c r="M12" i="23"/>
  <c r="L84" i="26"/>
  <c r="K84" s="1"/>
  <c r="M89"/>
  <c r="L89" s="1"/>
  <c r="K89" s="1"/>
  <c r="J89" s="1"/>
  <c r="I89" s="1"/>
  <c r="H89" s="1"/>
  <c r="G89" s="1"/>
  <c r="F89" s="1"/>
  <c r="E89" s="1"/>
  <c r="D89" s="1"/>
  <c r="C89" s="1"/>
  <c r="B89" s="1"/>
  <c r="A87"/>
  <c r="M73"/>
  <c r="L73" s="1"/>
  <c r="M78"/>
  <c r="L78" s="1"/>
  <c r="K78" s="1"/>
  <c r="J78" s="1"/>
  <c r="I78" s="1"/>
  <c r="H78" s="1"/>
  <c r="G78" s="1"/>
  <c r="F78" s="1"/>
  <c r="E78" s="1"/>
  <c r="D78" s="1"/>
  <c r="C78" s="1"/>
  <c r="B78" s="1"/>
  <c r="A76"/>
  <c r="M62"/>
  <c r="M67"/>
  <c r="L67"/>
  <c r="K67" s="1"/>
  <c r="J67" s="1"/>
  <c r="I67" s="1"/>
  <c r="H67" s="1"/>
  <c r="G67" s="1"/>
  <c r="F67" s="1"/>
  <c r="E67" s="1"/>
  <c r="D67" s="1"/>
  <c r="C67" s="1"/>
  <c r="B67" s="1"/>
  <c r="A65"/>
  <c r="L62"/>
  <c r="K62" s="1"/>
  <c r="J62" s="1"/>
  <c r="I62" s="1"/>
  <c r="H62" s="1"/>
  <c r="G62" s="1"/>
  <c r="F62" s="1"/>
  <c r="E62" s="1"/>
  <c r="D62" s="1"/>
  <c r="C62" s="1"/>
  <c r="B62" s="1"/>
  <c r="C12" i="28"/>
  <c r="E12"/>
  <c r="F12"/>
  <c r="G12"/>
  <c r="H12"/>
  <c r="I12"/>
  <c r="J12"/>
  <c r="K12"/>
  <c r="L12"/>
  <c r="M12"/>
  <c r="P12"/>
  <c r="C13"/>
  <c r="E13"/>
  <c r="F13"/>
  <c r="G13"/>
  <c r="H13"/>
  <c r="I13"/>
  <c r="J13"/>
  <c r="K13"/>
  <c r="L13"/>
  <c r="O13"/>
  <c r="P13"/>
  <c r="C14"/>
  <c r="E14"/>
  <c r="F14"/>
  <c r="G14"/>
  <c r="H14"/>
  <c r="I14"/>
  <c r="J14"/>
  <c r="K14"/>
  <c r="N14"/>
  <c r="O14"/>
  <c r="P14"/>
  <c r="C15"/>
  <c r="E15"/>
  <c r="F15"/>
  <c r="G15"/>
  <c r="H15"/>
  <c r="I15"/>
  <c r="J15"/>
  <c r="M15"/>
  <c r="N15"/>
  <c r="O15"/>
  <c r="P15"/>
  <c r="C16"/>
  <c r="E16"/>
  <c r="F16"/>
  <c r="G16"/>
  <c r="H16"/>
  <c r="I16"/>
  <c r="L16"/>
  <c r="M16"/>
  <c r="N16"/>
  <c r="O16"/>
  <c r="P16"/>
  <c r="C17"/>
  <c r="E17"/>
  <c r="F17"/>
  <c r="G17"/>
  <c r="H17"/>
  <c r="K17"/>
  <c r="L17"/>
  <c r="M17"/>
  <c r="N17"/>
  <c r="O17"/>
  <c r="P17"/>
  <c r="C18"/>
  <c r="E18"/>
  <c r="F18"/>
  <c r="G18"/>
  <c r="J18"/>
  <c r="K18"/>
  <c r="L18"/>
  <c r="M18"/>
  <c r="N18"/>
  <c r="O18"/>
  <c r="P18"/>
  <c r="C19"/>
  <c r="E19"/>
  <c r="F19"/>
  <c r="I19"/>
  <c r="J19"/>
  <c r="K19"/>
  <c r="L19"/>
  <c r="M19"/>
  <c r="N19"/>
  <c r="O19"/>
  <c r="P19"/>
  <c r="C20"/>
  <c r="E20"/>
  <c r="H20"/>
  <c r="I20"/>
  <c r="J20"/>
  <c r="K20"/>
  <c r="L20"/>
  <c r="M20"/>
  <c r="N20"/>
  <c r="O20"/>
  <c r="P20"/>
  <c r="C21"/>
  <c r="G21"/>
  <c r="H21"/>
  <c r="I21"/>
  <c r="J21"/>
  <c r="K21"/>
  <c r="L21"/>
  <c r="M21"/>
  <c r="N21"/>
  <c r="O21"/>
  <c r="P21"/>
  <c r="F22"/>
  <c r="G22"/>
  <c r="H22"/>
  <c r="I22"/>
  <c r="J22"/>
  <c r="K22"/>
  <c r="L22"/>
  <c r="M22"/>
  <c r="N22"/>
  <c r="O22"/>
  <c r="P22"/>
  <c r="C11"/>
  <c r="E11"/>
  <c r="F11"/>
  <c r="G11"/>
  <c r="H11"/>
  <c r="I11"/>
  <c r="J11"/>
  <c r="K11"/>
  <c r="L11"/>
  <c r="M11"/>
  <c r="N11"/>
  <c r="M54" i="26"/>
  <c r="L54" s="1"/>
  <c r="K54" s="1"/>
  <c r="J54" s="1"/>
  <c r="I54" s="1"/>
  <c r="H54" s="1"/>
  <c r="G54" s="1"/>
  <c r="F54" s="1"/>
  <c r="E54" s="1"/>
  <c r="D54" s="1"/>
  <c r="C54" s="1"/>
  <c r="B54" s="1"/>
  <c r="M49"/>
  <c r="A52"/>
  <c r="L49"/>
  <c r="K49" s="1"/>
  <c r="M43"/>
  <c r="L43" s="1"/>
  <c r="K43" s="1"/>
  <c r="J43" s="1"/>
  <c r="I43" s="1"/>
  <c r="H43" s="1"/>
  <c r="G43" s="1"/>
  <c r="F43" s="1"/>
  <c r="E43" s="1"/>
  <c r="D43" s="1"/>
  <c r="C43" s="1"/>
  <c r="B43" s="1"/>
  <c r="M41"/>
  <c r="A41" s="1"/>
  <c r="M38"/>
  <c r="L38" s="1"/>
  <c r="K38" s="1"/>
  <c r="D22" i="19"/>
  <c r="I39" i="16" s="1"/>
  <c r="J68" i="20"/>
  <c r="I62" i="21"/>
  <c r="I63"/>
  <c r="I64"/>
  <c r="I65"/>
  <c r="I66"/>
  <c r="I8"/>
  <c r="I9"/>
  <c r="I10"/>
  <c r="I11"/>
  <c r="J19" i="20"/>
  <c r="M32" i="26"/>
  <c r="L32" s="1"/>
  <c r="K32" s="1"/>
  <c r="J32" s="1"/>
  <c r="I32" s="1"/>
  <c r="H32" s="1"/>
  <c r="G32" s="1"/>
  <c r="F32" s="1"/>
  <c r="E32" s="1"/>
  <c r="D32" s="1"/>
  <c r="C32" s="1"/>
  <c r="B32" s="1"/>
  <c r="M30"/>
  <c r="A30" s="1"/>
  <c r="M27"/>
  <c r="L27" s="1"/>
  <c r="K27" s="1"/>
  <c r="J27" s="1"/>
  <c r="I27" s="1"/>
  <c r="H27" s="1"/>
  <c r="G27" s="1"/>
  <c r="F27" s="1"/>
  <c r="E27" s="1"/>
  <c r="D27" s="1"/>
  <c r="C27" s="1"/>
  <c r="B27" s="1"/>
  <c r="M21"/>
  <c r="L21" s="1"/>
  <c r="K21" s="1"/>
  <c r="J21" s="1"/>
  <c r="I21" s="1"/>
  <c r="H21" s="1"/>
  <c r="G21" s="1"/>
  <c r="F21" s="1"/>
  <c r="E21" s="1"/>
  <c r="D21" s="1"/>
  <c r="C21" s="1"/>
  <c r="B21" s="1"/>
  <c r="M16"/>
  <c r="L16" s="1"/>
  <c r="K16" s="1"/>
  <c r="A19"/>
  <c r="M10"/>
  <c r="L10" s="1"/>
  <c r="K10" s="1"/>
  <c r="J10" s="1"/>
  <c r="I10" s="1"/>
  <c r="H10" s="1"/>
  <c r="G10" s="1"/>
  <c r="F10" s="1"/>
  <c r="E10" s="1"/>
  <c r="D10" s="1"/>
  <c r="C10" s="1"/>
  <c r="B10" s="1"/>
  <c r="M8"/>
  <c r="A8" s="1"/>
  <c r="M5"/>
  <c r="L5" s="1"/>
  <c r="K5" s="1"/>
  <c r="J5" s="1"/>
  <c r="I5" s="1"/>
  <c r="H5" s="1"/>
  <c r="G5" s="1"/>
  <c r="F5" s="1"/>
  <c r="E5" s="1"/>
  <c r="D5" s="1"/>
  <c r="C5" s="1"/>
  <c r="B5" s="1"/>
  <c r="P13" i="4"/>
  <c r="O13"/>
  <c r="N13"/>
  <c r="M13"/>
  <c r="L13"/>
  <c r="K13"/>
  <c r="J13"/>
  <c r="I13"/>
  <c r="H13"/>
  <c r="G13"/>
  <c r="F13"/>
  <c r="E13"/>
  <c r="D13"/>
  <c r="D9" i="19"/>
  <c r="J30" i="16"/>
  <c r="I32" s="1"/>
  <c r="O36" i="30" l="1"/>
  <c r="O8"/>
  <c r="O37" s="1"/>
  <c r="O26" i="31"/>
  <c r="O5" i="14" s="1"/>
  <c r="M26" i="31"/>
  <c r="M5" i="14" s="1"/>
  <c r="K26" i="31"/>
  <c r="K5" i="14" s="1"/>
  <c r="I26" i="31"/>
  <c r="I5" i="14" s="1"/>
  <c r="G26" i="31"/>
  <c r="G5" i="14" s="1"/>
  <c r="E26" i="31"/>
  <c r="E5" i="14" s="1"/>
  <c r="D14" s="1"/>
  <c r="C14" s="1"/>
  <c r="M18" i="33"/>
  <c r="M21" s="1"/>
  <c r="K18"/>
  <c r="K21" s="1"/>
  <c r="I18"/>
  <c r="I21" s="1"/>
  <c r="G18"/>
  <c r="G21" s="1"/>
  <c r="E18"/>
  <c r="E21" s="1"/>
  <c r="C18"/>
  <c r="C21" s="1"/>
  <c r="T32" i="31"/>
  <c r="C2" i="38" s="1"/>
  <c r="T20" i="31"/>
  <c r="C2" i="13" s="1"/>
  <c r="T8" i="31"/>
  <c r="C2" i="12" s="1"/>
  <c r="T26" i="31"/>
  <c r="C2" i="14" s="1"/>
  <c r="T14" i="31"/>
  <c r="C2" i="11" s="1"/>
  <c r="C9" i="14"/>
  <c r="C9" i="11"/>
  <c r="C9" i="38"/>
  <c r="M37" i="30"/>
  <c r="K37"/>
  <c r="I37"/>
  <c r="G37"/>
  <c r="E37"/>
  <c r="C32"/>
  <c r="B32" s="1"/>
  <c r="N37"/>
  <c r="L37"/>
  <c r="J37"/>
  <c r="H37"/>
  <c r="F37"/>
  <c r="D37"/>
  <c r="O12" i="25"/>
  <c r="M12"/>
  <c r="K12"/>
  <c r="I12"/>
  <c r="G12"/>
  <c r="E12"/>
  <c r="F13" i="24"/>
  <c r="F11"/>
  <c r="H13"/>
  <c r="H11"/>
  <c r="J13"/>
  <c r="J11"/>
  <c r="L13"/>
  <c r="L11"/>
  <c r="N13"/>
  <c r="N11"/>
  <c r="P13"/>
  <c r="P11"/>
  <c r="O12"/>
  <c r="M12"/>
  <c r="K12"/>
  <c r="I12"/>
  <c r="G12"/>
  <c r="E12"/>
  <c r="M78" i="29"/>
  <c r="P31" i="19" s="1"/>
  <c r="J26" i="29"/>
  <c r="H38"/>
  <c r="F50"/>
  <c r="M8"/>
  <c r="M80" s="1"/>
  <c r="M77"/>
  <c r="K20"/>
  <c r="I32"/>
  <c r="G44"/>
  <c r="E56"/>
  <c r="C60"/>
  <c r="B60" s="1"/>
  <c r="A60" s="1"/>
  <c r="N31" i="31"/>
  <c r="N32" s="1"/>
  <c r="N5" i="38" s="1"/>
  <c r="N7"/>
  <c r="N8"/>
  <c r="L31" i="31"/>
  <c r="L32" s="1"/>
  <c r="L5" i="38" s="1"/>
  <c r="L7"/>
  <c r="L8"/>
  <c r="J31" i="31"/>
  <c r="H48" i="33" s="1"/>
  <c r="H52" s="1"/>
  <c r="J6" i="38" s="1"/>
  <c r="J7"/>
  <c r="J8"/>
  <c r="H31" i="31"/>
  <c r="H7" i="38"/>
  <c r="H8"/>
  <c r="F31" i="31"/>
  <c r="D48" i="33" s="1"/>
  <c r="D52" s="1"/>
  <c r="F6" i="38" s="1"/>
  <c r="F7"/>
  <c r="F8"/>
  <c r="D31" i="31"/>
  <c r="D7" i="38"/>
  <c r="D8"/>
  <c r="M31" i="31"/>
  <c r="M32" s="1"/>
  <c r="M5" i="38" s="1"/>
  <c r="M8"/>
  <c r="M7"/>
  <c r="K31" i="31"/>
  <c r="K32" s="1"/>
  <c r="K5" i="38" s="1"/>
  <c r="K8"/>
  <c r="K7"/>
  <c r="I31" i="31"/>
  <c r="I32" s="1"/>
  <c r="I5" i="38" s="1"/>
  <c r="I8"/>
  <c r="I7"/>
  <c r="G31" i="31"/>
  <c r="G32" s="1"/>
  <c r="G5" i="38" s="1"/>
  <c r="G8"/>
  <c r="G7"/>
  <c r="E31" i="31"/>
  <c r="E32" s="1"/>
  <c r="E5" i="38" s="1"/>
  <c r="D14" s="1"/>
  <c r="E8"/>
  <c r="E7"/>
  <c r="O31" i="31"/>
  <c r="O32" s="1"/>
  <c r="O5" i="38" s="1"/>
  <c r="O8"/>
  <c r="O7"/>
  <c r="F48" i="33"/>
  <c r="F52" s="1"/>
  <c r="H6" i="38" s="1"/>
  <c r="B48" i="33"/>
  <c r="B52" s="1"/>
  <c r="D6" i="38" s="1"/>
  <c r="N26" i="31"/>
  <c r="N5" i="14" s="1"/>
  <c r="L26" i="31"/>
  <c r="L5" i="14" s="1"/>
  <c r="H38" i="33"/>
  <c r="H42" s="1"/>
  <c r="F38"/>
  <c r="F42" s="1"/>
  <c r="H6" i="14" s="1"/>
  <c r="D38" i="33"/>
  <c r="D42" s="1"/>
  <c r="B38"/>
  <c r="B42" s="1"/>
  <c r="D6" i="14" s="1"/>
  <c r="L28" i="33"/>
  <c r="L31" s="1"/>
  <c r="L18"/>
  <c r="L21" s="1"/>
  <c r="J18"/>
  <c r="J21" s="1"/>
  <c r="H18"/>
  <c r="H21" s="1"/>
  <c r="C9" i="13"/>
  <c r="L7" i="33"/>
  <c r="L13" s="1"/>
  <c r="J7"/>
  <c r="J13" s="1"/>
  <c r="H7"/>
  <c r="H13" s="1"/>
  <c r="F7"/>
  <c r="F13" s="1"/>
  <c r="D7"/>
  <c r="D13" s="1"/>
  <c r="B7"/>
  <c r="N7" i="11"/>
  <c r="L7"/>
  <c r="J7"/>
  <c r="H7"/>
  <c r="F7"/>
  <c r="D7"/>
  <c r="N7" i="13"/>
  <c r="L7"/>
  <c r="J7"/>
  <c r="H7"/>
  <c r="F7"/>
  <c r="D7"/>
  <c r="N7" i="12"/>
  <c r="L7"/>
  <c r="J7"/>
  <c r="H7"/>
  <c r="F7"/>
  <c r="D7"/>
  <c r="N7" i="14"/>
  <c r="L7"/>
  <c r="J7"/>
  <c r="H7"/>
  <c r="F7"/>
  <c r="D7"/>
  <c r="N8" i="11"/>
  <c r="L8"/>
  <c r="J8"/>
  <c r="H8"/>
  <c r="F8"/>
  <c r="D8"/>
  <c r="N8" i="13"/>
  <c r="L8"/>
  <c r="J8"/>
  <c r="H8"/>
  <c r="F8"/>
  <c r="D8"/>
  <c r="N8" i="12"/>
  <c r="L8"/>
  <c r="J8"/>
  <c r="H8"/>
  <c r="F8"/>
  <c r="D8"/>
  <c r="N8" i="14"/>
  <c r="L8"/>
  <c r="J8"/>
  <c r="H8"/>
  <c r="F8"/>
  <c r="D8"/>
  <c r="M7" i="33"/>
  <c r="M13" s="1"/>
  <c r="O6" i="12" s="1"/>
  <c r="K7" i="33"/>
  <c r="I7"/>
  <c r="G7"/>
  <c r="E7"/>
  <c r="C7"/>
  <c r="O7" i="11"/>
  <c r="M7"/>
  <c r="K7"/>
  <c r="I7"/>
  <c r="G7"/>
  <c r="E7"/>
  <c r="O7" i="13"/>
  <c r="M7"/>
  <c r="K7"/>
  <c r="I7"/>
  <c r="G7"/>
  <c r="E7"/>
  <c r="O7" i="12"/>
  <c r="M7"/>
  <c r="K7"/>
  <c r="I7"/>
  <c r="G7"/>
  <c r="E7"/>
  <c r="O7" i="14"/>
  <c r="M7"/>
  <c r="K7"/>
  <c r="I7"/>
  <c r="G7"/>
  <c r="E7"/>
  <c r="O8" i="11"/>
  <c r="M8"/>
  <c r="K8"/>
  <c r="I8"/>
  <c r="G8"/>
  <c r="E8"/>
  <c r="O8" i="13"/>
  <c r="M8"/>
  <c r="K8"/>
  <c r="I8"/>
  <c r="G8"/>
  <c r="E8"/>
  <c r="O8" i="12"/>
  <c r="M8"/>
  <c r="K8"/>
  <c r="I8"/>
  <c r="G8"/>
  <c r="E8"/>
  <c r="O8" i="14"/>
  <c r="M8"/>
  <c r="K8"/>
  <c r="I8"/>
  <c r="G8"/>
  <c r="E8"/>
  <c r="J6"/>
  <c r="F6"/>
  <c r="K48" i="33"/>
  <c r="K52" s="1"/>
  <c r="M6" i="38" s="1"/>
  <c r="I48" i="33"/>
  <c r="I52" s="1"/>
  <c r="K6" i="38" s="1"/>
  <c r="G48" i="33"/>
  <c r="G52" s="1"/>
  <c r="I6" i="38" s="1"/>
  <c r="E48" i="33"/>
  <c r="E52" s="1"/>
  <c r="G6" i="38" s="1"/>
  <c r="C48" i="33"/>
  <c r="C52" s="1"/>
  <c r="E6" i="38" s="1"/>
  <c r="L48" i="33"/>
  <c r="L52" s="1"/>
  <c r="N6" i="38" s="1"/>
  <c r="J48" i="33"/>
  <c r="J52" s="1"/>
  <c r="L6" i="38" s="1"/>
  <c r="M48" i="33"/>
  <c r="M52" s="1"/>
  <c r="O6" i="38" s="1"/>
  <c r="K38" i="33"/>
  <c r="K42" s="1"/>
  <c r="M6" i="14" s="1"/>
  <c r="I38" i="33"/>
  <c r="I42" s="1"/>
  <c r="K6" i="14" s="1"/>
  <c r="G38" i="33"/>
  <c r="G42" s="1"/>
  <c r="I6" i="14" s="1"/>
  <c r="E38" i="33"/>
  <c r="E42" s="1"/>
  <c r="G6" i="14" s="1"/>
  <c r="C38" i="33"/>
  <c r="C42" s="1"/>
  <c r="E6" i="14" s="1"/>
  <c r="L38" i="33"/>
  <c r="L42" s="1"/>
  <c r="N6" i="14" s="1"/>
  <c r="J38" i="33"/>
  <c r="J42" s="1"/>
  <c r="L6" i="14" s="1"/>
  <c r="M38" i="33"/>
  <c r="M42" s="1"/>
  <c r="O6" i="14" s="1"/>
  <c r="L22" i="33"/>
  <c r="N6" i="11" s="1"/>
  <c r="J22" i="33"/>
  <c r="L6" i="11" s="1"/>
  <c r="H22" i="33"/>
  <c r="J6" i="11" s="1"/>
  <c r="L32" i="33"/>
  <c r="N6" i="13" s="1"/>
  <c r="M22" i="33"/>
  <c r="O6" i="11" s="1"/>
  <c r="K22" i="33"/>
  <c r="M6" i="11" s="1"/>
  <c r="I22" i="33"/>
  <c r="K6" i="11" s="1"/>
  <c r="G22" i="33"/>
  <c r="I6" i="11" s="1"/>
  <c r="E22" i="33"/>
  <c r="G6" i="11" s="1"/>
  <c r="C22" i="33"/>
  <c r="E6" i="11" s="1"/>
  <c r="M28" i="33"/>
  <c r="F18"/>
  <c r="D18"/>
  <c r="B18"/>
  <c r="N6" i="12"/>
  <c r="L6"/>
  <c r="J6"/>
  <c r="H6"/>
  <c r="F6"/>
  <c r="C31" i="30"/>
  <c r="B31" s="1"/>
  <c r="C25"/>
  <c r="B25" s="1"/>
  <c r="C19"/>
  <c r="B19" s="1"/>
  <c r="C13"/>
  <c r="B13" s="1"/>
  <c r="C35"/>
  <c r="B35" s="1"/>
  <c r="C34"/>
  <c r="B34" s="1"/>
  <c r="C7"/>
  <c r="B7" s="1"/>
  <c r="J32" i="31"/>
  <c r="J5" i="38" s="1"/>
  <c r="H32" i="31"/>
  <c r="H5" i="38" s="1"/>
  <c r="J26" i="31"/>
  <c r="J5" i="14" s="1"/>
  <c r="H26" i="31"/>
  <c r="H5" i="14" s="1"/>
  <c r="N20" i="31"/>
  <c r="N5" i="13" s="1"/>
  <c r="D14" i="31"/>
  <c r="D5" i="11" s="1"/>
  <c r="F32" i="31"/>
  <c r="F5" i="38" s="1"/>
  <c r="D32" i="31"/>
  <c r="D5" i="38" s="1"/>
  <c r="F26" i="31"/>
  <c r="F5" i="14" s="1"/>
  <c r="D26" i="31"/>
  <c r="D5" i="14" s="1"/>
  <c r="N14" i="31"/>
  <c r="N5" i="11" s="1"/>
  <c r="L14" i="31"/>
  <c r="L5" i="11" s="1"/>
  <c r="J14" i="31"/>
  <c r="J5" i="11" s="1"/>
  <c r="H14" i="31"/>
  <c r="H5" i="11" s="1"/>
  <c r="F14" i="31"/>
  <c r="F5" i="11" s="1"/>
  <c r="O14" i="31"/>
  <c r="O5" i="11" s="1"/>
  <c r="M14" i="31"/>
  <c r="M5" i="11" s="1"/>
  <c r="K14" i="31"/>
  <c r="K5" i="11" s="1"/>
  <c r="I14" i="31"/>
  <c r="I5" i="11" s="1"/>
  <c r="G14" i="31"/>
  <c r="G5" i="11" s="1"/>
  <c r="E14" i="31"/>
  <c r="E5" i="11" s="1"/>
  <c r="D14" s="1"/>
  <c r="K8" i="31"/>
  <c r="K5" i="12" s="1"/>
  <c r="K14" s="1"/>
  <c r="G8" i="31"/>
  <c r="G5" i="12" s="1"/>
  <c r="G14" s="1"/>
  <c r="M8" i="31"/>
  <c r="M5" i="12" s="1"/>
  <c r="M14" s="1"/>
  <c r="I8" i="31"/>
  <c r="I5" i="12" s="1"/>
  <c r="I14" s="1"/>
  <c r="E8" i="31"/>
  <c r="E5" i="12" s="1"/>
  <c r="M18" i="31"/>
  <c r="L18" s="1"/>
  <c r="K18" s="1"/>
  <c r="J18" s="1"/>
  <c r="I18" s="1"/>
  <c r="H18" s="1"/>
  <c r="G18" s="1"/>
  <c r="F18" s="1"/>
  <c r="E18" s="1"/>
  <c r="D18" s="1"/>
  <c r="D20" s="1"/>
  <c r="D5" i="13" s="1"/>
  <c r="M36" i="30"/>
  <c r="K36"/>
  <c r="I36"/>
  <c r="G36"/>
  <c r="E36"/>
  <c r="N7" i="31"/>
  <c r="N8" s="1"/>
  <c r="N5" i="12" s="1"/>
  <c r="N14" s="1"/>
  <c r="L7" i="31"/>
  <c r="L8" s="1"/>
  <c r="L5" i="12" s="1"/>
  <c r="L14" s="1"/>
  <c r="J7" i="31"/>
  <c r="J8" s="1"/>
  <c r="J5" i="12" s="1"/>
  <c r="J14" s="1"/>
  <c r="H7" i="31"/>
  <c r="H8" s="1"/>
  <c r="H5" i="12" s="1"/>
  <c r="H14" s="1"/>
  <c r="F7" i="31"/>
  <c r="F8" s="1"/>
  <c r="F5" i="12" s="1"/>
  <c r="F14" s="1"/>
  <c r="D7" i="31"/>
  <c r="D8" s="1"/>
  <c r="D5" i="12" s="1"/>
  <c r="D14" s="1"/>
  <c r="O7" i="31"/>
  <c r="O8" s="1"/>
  <c r="O5" i="12" s="1"/>
  <c r="O14" s="1"/>
  <c r="B66" i="29"/>
  <c r="A66" s="1"/>
  <c r="E48"/>
  <c r="E49" s="1"/>
  <c r="F42"/>
  <c r="F43" s="1"/>
  <c r="D61"/>
  <c r="A65"/>
  <c r="P30" i="19"/>
  <c r="A73" i="29"/>
  <c r="B73"/>
  <c r="A74"/>
  <c r="C67"/>
  <c r="A59"/>
  <c r="A61" s="1"/>
  <c r="B68"/>
  <c r="A68" s="1"/>
  <c r="D56"/>
  <c r="C56" s="1"/>
  <c r="B56" s="1"/>
  <c r="A56" s="1"/>
  <c r="A53"/>
  <c r="D54"/>
  <c r="C54" s="1"/>
  <c r="C55" s="1"/>
  <c r="E50"/>
  <c r="D50" s="1"/>
  <c r="C50" s="1"/>
  <c r="B50" s="1"/>
  <c r="A50" s="1"/>
  <c r="B61"/>
  <c r="A47"/>
  <c r="C62"/>
  <c r="B62" s="1"/>
  <c r="A62" s="1"/>
  <c r="C61"/>
  <c r="E55"/>
  <c r="F49"/>
  <c r="G43"/>
  <c r="A41"/>
  <c r="F44"/>
  <c r="P13" i="25"/>
  <c r="P11"/>
  <c r="A35" i="29"/>
  <c r="G36"/>
  <c r="H37"/>
  <c r="G38"/>
  <c r="F38" s="1"/>
  <c r="E38" s="1"/>
  <c r="D38" s="1"/>
  <c r="C38" s="1"/>
  <c r="B38" s="1"/>
  <c r="A38" s="1"/>
  <c r="H30"/>
  <c r="H31" s="1"/>
  <c r="I31"/>
  <c r="A29"/>
  <c r="H32"/>
  <c r="G32" s="1"/>
  <c r="F32" s="1"/>
  <c r="E32" s="1"/>
  <c r="D32" s="1"/>
  <c r="C32" s="1"/>
  <c r="B32" s="1"/>
  <c r="A32" s="1"/>
  <c r="I24"/>
  <c r="I25" s="1"/>
  <c r="J25"/>
  <c r="I26"/>
  <c r="H26" s="1"/>
  <c r="G26" s="1"/>
  <c r="F26" s="1"/>
  <c r="E26" s="1"/>
  <c r="D26" s="1"/>
  <c r="C26" s="1"/>
  <c r="B26" s="1"/>
  <c r="A26" s="1"/>
  <c r="A23"/>
  <c r="J20"/>
  <c r="I20" s="1"/>
  <c r="H20" s="1"/>
  <c r="G20" s="1"/>
  <c r="F20" s="1"/>
  <c r="E20" s="1"/>
  <c r="D20" s="1"/>
  <c r="C20" s="1"/>
  <c r="B20" s="1"/>
  <c r="A20" s="1"/>
  <c r="J18"/>
  <c r="K19"/>
  <c r="L13"/>
  <c r="A17"/>
  <c r="L14"/>
  <c r="A11"/>
  <c r="L6"/>
  <c r="M7"/>
  <c r="M79" s="1"/>
  <c r="L5"/>
  <c r="L8" s="1"/>
  <c r="H10" i="24"/>
  <c r="P10"/>
  <c r="F9" i="3"/>
  <c r="H9"/>
  <c r="J9"/>
  <c r="L9"/>
  <c r="N9"/>
  <c r="P9"/>
  <c r="F9" i="2"/>
  <c r="F11" s="1"/>
  <c r="H9"/>
  <c r="H11" s="1"/>
  <c r="J9"/>
  <c r="J11" s="1"/>
  <c r="L9"/>
  <c r="L11" s="1"/>
  <c r="N9"/>
  <c r="N11" s="1"/>
  <c r="P9"/>
  <c r="P11" s="1"/>
  <c r="F11" i="3"/>
  <c r="F12" s="1"/>
  <c r="H11"/>
  <c r="H12" s="1"/>
  <c r="J11"/>
  <c r="J12" s="1"/>
  <c r="L11"/>
  <c r="L12" s="1"/>
  <c r="N11"/>
  <c r="N12" s="1"/>
  <c r="P11"/>
  <c r="P12" s="1"/>
  <c r="E11"/>
  <c r="E12" s="1"/>
  <c r="G11"/>
  <c r="G12" s="1"/>
  <c r="I11"/>
  <c r="I12" s="1"/>
  <c r="K11"/>
  <c r="K12" s="1"/>
  <c r="M11"/>
  <c r="M12" s="1"/>
  <c r="O11"/>
  <c r="O12" s="1"/>
  <c r="D7"/>
  <c r="E11" i="2"/>
  <c r="E12" s="1"/>
  <c r="G11"/>
  <c r="I11"/>
  <c r="K11"/>
  <c r="M11"/>
  <c r="O11"/>
  <c r="D7"/>
  <c r="D12" i="24" s="1"/>
  <c r="J84" i="26"/>
  <c r="I84" s="1"/>
  <c r="K73"/>
  <c r="J73" s="1"/>
  <c r="J49"/>
  <c r="I49" s="1"/>
  <c r="J38"/>
  <c r="I38" s="1"/>
  <c r="J16"/>
  <c r="I16" s="1"/>
  <c r="C16" i="12"/>
  <c r="D7" i="19"/>
  <c r="M24" i="10"/>
  <c r="J87" i="20"/>
  <c r="H87" s="1"/>
  <c r="H88" s="1"/>
  <c r="S23" i="21"/>
  <c r="S22"/>
  <c r="M12" i="36" s="1"/>
  <c r="S33" i="21"/>
  <c r="J88" i="20"/>
  <c r="O7" i="1"/>
  <c r="P7" i="4"/>
  <c r="N11" i="23"/>
  <c r="L10"/>
  <c r="M7"/>
  <c r="M8"/>
  <c r="M9"/>
  <c r="M10"/>
  <c r="M6"/>
  <c r="Q48" i="21"/>
  <c r="Q41"/>
  <c r="J29" i="20"/>
  <c r="J37" s="1"/>
  <c r="W7" i="10"/>
  <c r="W6"/>
  <c r="W5"/>
  <c r="D10" i="19"/>
  <c r="D18"/>
  <c r="D20"/>
  <c r="D21"/>
  <c r="D25"/>
  <c r="D26"/>
  <c r="G42" i="37" s="1"/>
  <c r="M15" i="10"/>
  <c r="N17"/>
  <c r="N18"/>
  <c r="N16"/>
  <c r="M12" i="15"/>
  <c r="M16" s="1"/>
  <c r="S15"/>
  <c r="S12"/>
  <c r="O11"/>
  <c r="O15"/>
  <c r="L15" s="1"/>
  <c r="O5"/>
  <c r="L5" s="1"/>
  <c r="U6"/>
  <c r="U7"/>
  <c r="U8"/>
  <c r="U9"/>
  <c r="U10"/>
  <c r="Q10" s="1"/>
  <c r="U11"/>
  <c r="Q11" s="1"/>
  <c r="U13"/>
  <c r="U14"/>
  <c r="J14" s="1"/>
  <c r="U5"/>
  <c r="C24" i="11"/>
  <c r="C25"/>
  <c r="C26"/>
  <c r="C27"/>
  <c r="C28"/>
  <c r="C20" i="14"/>
  <c r="C21"/>
  <c r="C22"/>
  <c r="C23"/>
  <c r="C24"/>
  <c r="C25"/>
  <c r="C27"/>
  <c r="C29"/>
  <c r="C20" i="13"/>
  <c r="C21"/>
  <c r="C22"/>
  <c r="C23"/>
  <c r="C24"/>
  <c r="C25"/>
  <c r="C26"/>
  <c r="C27"/>
  <c r="L9" i="23"/>
  <c r="L8"/>
  <c r="L7"/>
  <c r="L6"/>
  <c r="L18" s="1"/>
  <c r="D8" i="22"/>
  <c r="D32" i="19"/>
  <c r="S32" i="21"/>
  <c r="S31"/>
  <c r="S21"/>
  <c r="U24"/>
  <c r="F4" i="10"/>
  <c r="G4"/>
  <c r="H4"/>
  <c r="D14" i="1"/>
  <c r="E14"/>
  <c r="F14"/>
  <c r="G14"/>
  <c r="H14"/>
  <c r="I14"/>
  <c r="J14"/>
  <c r="K14"/>
  <c r="L14"/>
  <c r="M14"/>
  <c r="N14"/>
  <c r="O14"/>
  <c r="P14"/>
  <c r="I61" i="21"/>
  <c r="I60"/>
  <c r="J113" i="20"/>
  <c r="Q43" i="21"/>
  <c r="O6" i="15" s="1"/>
  <c r="J63" i="20"/>
  <c r="L3" i="15"/>
  <c r="O3"/>
  <c r="J3"/>
  <c r="K6" i="18"/>
  <c r="L6"/>
  <c r="M48" i="21"/>
  <c r="M50"/>
  <c r="M51"/>
  <c r="M42"/>
  <c r="I7"/>
  <c r="F121" i="20"/>
  <c r="J127"/>
  <c r="J121"/>
  <c r="J101"/>
  <c r="J76"/>
  <c r="J82"/>
  <c r="J40"/>
  <c r="K12" i="21"/>
  <c r="L12"/>
  <c r="N12"/>
  <c r="O12"/>
  <c r="P12"/>
  <c r="Q12"/>
  <c r="R12"/>
  <c r="S12"/>
  <c r="T12"/>
  <c r="U12"/>
  <c r="X7" i="15"/>
  <c r="X8"/>
  <c r="X9"/>
  <c r="X10"/>
  <c r="X11"/>
  <c r="X6"/>
  <c r="Q47" i="21"/>
  <c r="M47" s="1"/>
  <c r="Q46"/>
  <c r="M46" s="1"/>
  <c r="Q45"/>
  <c r="M45" s="1"/>
  <c r="Q44"/>
  <c r="M44" s="1"/>
  <c r="M43"/>
  <c r="U52"/>
  <c r="M52" s="1"/>
  <c r="U49"/>
  <c r="U12" i="15" s="1"/>
  <c r="U34" i="21"/>
  <c r="J32" i="20"/>
  <c r="J22"/>
  <c r="J13"/>
  <c r="D6" i="19" s="1"/>
  <c r="I3" i="15"/>
  <c r="O9" i="12" l="1"/>
  <c r="C9" s="1"/>
  <c r="C8" i="30"/>
  <c r="B8" s="1"/>
  <c r="B37" s="1"/>
  <c r="M18" i="3"/>
  <c r="L18"/>
  <c r="I22"/>
  <c r="H22"/>
  <c r="C26"/>
  <c r="C27" s="1"/>
  <c r="E26"/>
  <c r="D26" s="1"/>
  <c r="M17"/>
  <c r="N17"/>
  <c r="I21"/>
  <c r="J21"/>
  <c r="E25"/>
  <c r="F25"/>
  <c r="N16"/>
  <c r="O16"/>
  <c r="J20"/>
  <c r="K20"/>
  <c r="F24"/>
  <c r="G24"/>
  <c r="P15"/>
  <c r="P27" s="1"/>
  <c r="O15"/>
  <c r="L19"/>
  <c r="K19"/>
  <c r="H23"/>
  <c r="G23"/>
  <c r="E26" i="2"/>
  <c r="D26" s="1"/>
  <c r="C26"/>
  <c r="C27" s="1"/>
  <c r="L10" i="24"/>
  <c r="L46" i="27"/>
  <c r="G36" i="37"/>
  <c r="G32"/>
  <c r="J22" i="16"/>
  <c r="Q9" i="15"/>
  <c r="X17"/>
  <c r="Y17" s="1"/>
  <c r="E13" i="33"/>
  <c r="G6" i="12" s="1"/>
  <c r="G10" s="1"/>
  <c r="G17" s="1"/>
  <c r="I13" i="33"/>
  <c r="K6" i="12" s="1"/>
  <c r="K10" s="1"/>
  <c r="K17" s="1"/>
  <c r="D18"/>
  <c r="C18" s="1"/>
  <c r="E14"/>
  <c r="C14" s="1"/>
  <c r="C13" i="33"/>
  <c r="E6" i="12" s="1"/>
  <c r="E10" s="1"/>
  <c r="G13" i="33"/>
  <c r="I6" i="12" s="1"/>
  <c r="I10" s="1"/>
  <c r="I17" s="1"/>
  <c r="K13" i="33"/>
  <c r="M6" i="12" s="1"/>
  <c r="M10" s="1"/>
  <c r="M17" s="1"/>
  <c r="B13" i="33"/>
  <c r="D6" i="12" s="1"/>
  <c r="M18" i="23"/>
  <c r="N18"/>
  <c r="M8" i="36"/>
  <c r="M5" s="1"/>
  <c r="P40" i="25"/>
  <c r="D40" s="1"/>
  <c r="U5" i="10"/>
  <c r="M11" i="36"/>
  <c r="U7" i="10"/>
  <c r="M13" i="36"/>
  <c r="M10" s="1"/>
  <c r="C5" i="38"/>
  <c r="C1" s="1"/>
  <c r="D11" s="1"/>
  <c r="C11" s="1"/>
  <c r="P9" i="24"/>
  <c r="P43" s="1"/>
  <c r="P44" s="1"/>
  <c r="P42" s="1"/>
  <c r="P41" s="1"/>
  <c r="P14"/>
  <c r="P15" s="1"/>
  <c r="O8" s="1"/>
  <c r="P10" i="25"/>
  <c r="D12"/>
  <c r="N10" i="24"/>
  <c r="J10"/>
  <c r="F10"/>
  <c r="G13"/>
  <c r="G11"/>
  <c r="K13"/>
  <c r="K11"/>
  <c r="O13"/>
  <c r="O11"/>
  <c r="E13"/>
  <c r="E11"/>
  <c r="I13"/>
  <c r="I11"/>
  <c r="M13"/>
  <c r="M11"/>
  <c r="J10" i="38"/>
  <c r="J13" s="1"/>
  <c r="J15" s="1"/>
  <c r="C7"/>
  <c r="L80" i="29"/>
  <c r="L77"/>
  <c r="L78"/>
  <c r="O31" i="19" s="1"/>
  <c r="C8" i="38"/>
  <c r="G10"/>
  <c r="G13" s="1"/>
  <c r="K10"/>
  <c r="D10"/>
  <c r="H10"/>
  <c r="H13" s="1"/>
  <c r="H15" s="1"/>
  <c r="N10"/>
  <c r="N13" s="1"/>
  <c r="N15" s="1"/>
  <c r="E10"/>
  <c r="E13" s="1"/>
  <c r="C14"/>
  <c r="I10"/>
  <c r="I13" s="1"/>
  <c r="M10"/>
  <c r="M13" s="1"/>
  <c r="M15" s="1"/>
  <c r="F10"/>
  <c r="F13" s="1"/>
  <c r="F15" s="1"/>
  <c r="L10"/>
  <c r="L13" s="1"/>
  <c r="L15" s="1"/>
  <c r="C6"/>
  <c r="O10"/>
  <c r="C7" i="12"/>
  <c r="S16" i="15"/>
  <c r="C8" i="14"/>
  <c r="C7"/>
  <c r="C8" i="12"/>
  <c r="C6" i="14"/>
  <c r="B67" i="29"/>
  <c r="H10" i="12"/>
  <c r="H17" s="1"/>
  <c r="L10"/>
  <c r="L17" s="1"/>
  <c r="O10"/>
  <c r="F10"/>
  <c r="F17" s="1"/>
  <c r="J10"/>
  <c r="J17" s="1"/>
  <c r="N10"/>
  <c r="N17" s="1"/>
  <c r="N10" i="13"/>
  <c r="N13" s="1"/>
  <c r="G10" i="11"/>
  <c r="G13" s="1"/>
  <c r="K10"/>
  <c r="K13" s="1"/>
  <c r="O10"/>
  <c r="O13" s="1"/>
  <c r="L10"/>
  <c r="L13" s="1"/>
  <c r="C14"/>
  <c r="E10"/>
  <c r="E13" s="1"/>
  <c r="I10"/>
  <c r="I13" s="1"/>
  <c r="M10"/>
  <c r="M13" s="1"/>
  <c r="J10"/>
  <c r="J13" s="1"/>
  <c r="N10"/>
  <c r="N13" s="1"/>
  <c r="G10" i="14"/>
  <c r="G13" s="1"/>
  <c r="G15" s="1"/>
  <c r="G16" s="1"/>
  <c r="K10"/>
  <c r="K13" s="1"/>
  <c r="K15" s="1"/>
  <c r="K16" s="1"/>
  <c r="O10"/>
  <c r="O13" s="1"/>
  <c r="O15" s="1"/>
  <c r="O16" s="1"/>
  <c r="F10"/>
  <c r="F13" s="1"/>
  <c r="J10"/>
  <c r="J13" s="1"/>
  <c r="J15" s="1"/>
  <c r="J16" s="1"/>
  <c r="N10"/>
  <c r="N13" s="1"/>
  <c r="N15" s="1"/>
  <c r="N16" s="1"/>
  <c r="E10"/>
  <c r="E13" s="1"/>
  <c r="E15" s="1"/>
  <c r="E16" s="1"/>
  <c r="I10"/>
  <c r="I13" s="1"/>
  <c r="I15" s="1"/>
  <c r="I16" s="1"/>
  <c r="M10"/>
  <c r="M13" s="1"/>
  <c r="M15" s="1"/>
  <c r="M16" s="1"/>
  <c r="D10"/>
  <c r="H10"/>
  <c r="H13" s="1"/>
  <c r="L10"/>
  <c r="L13" s="1"/>
  <c r="L15" s="1"/>
  <c r="L16" s="1"/>
  <c r="C8" i="11"/>
  <c r="C7" i="13"/>
  <c r="C8"/>
  <c r="C7" i="11"/>
  <c r="D21" i="33"/>
  <c r="D22"/>
  <c r="M31"/>
  <c r="M32"/>
  <c r="B21"/>
  <c r="B22"/>
  <c r="F21"/>
  <c r="F22"/>
  <c r="C28"/>
  <c r="K28"/>
  <c r="H28"/>
  <c r="G28"/>
  <c r="D28"/>
  <c r="E28"/>
  <c r="I28"/>
  <c r="B28"/>
  <c r="F28"/>
  <c r="J28"/>
  <c r="C36" i="30"/>
  <c r="B36" s="1"/>
  <c r="C5" i="12"/>
  <c r="C1" s="1"/>
  <c r="D11" s="1"/>
  <c r="C5" i="14"/>
  <c r="C1" s="1"/>
  <c r="D11" s="1"/>
  <c r="C5" i="11"/>
  <c r="F20" i="31"/>
  <c r="F5" i="13" s="1"/>
  <c r="J20" i="31"/>
  <c r="J5" i="13" s="1"/>
  <c r="E20" i="31"/>
  <c r="E5" i="13" s="1"/>
  <c r="D14" s="1"/>
  <c r="I20" i="31"/>
  <c r="I5" i="13" s="1"/>
  <c r="M20" i="31"/>
  <c r="M5" i="13" s="1"/>
  <c r="H20" i="31"/>
  <c r="H5" i="13" s="1"/>
  <c r="L20" i="31"/>
  <c r="L5" i="13" s="1"/>
  <c r="G20" i="31"/>
  <c r="G5" i="13" s="1"/>
  <c r="K20" i="31"/>
  <c r="K5" i="13" s="1"/>
  <c r="D48" i="29"/>
  <c r="E42"/>
  <c r="A67"/>
  <c r="D55"/>
  <c r="O30" i="19"/>
  <c r="B54" i="29"/>
  <c r="E44"/>
  <c r="D44" s="1"/>
  <c r="C44" s="1"/>
  <c r="B44" s="1"/>
  <c r="A44" s="1"/>
  <c r="F36"/>
  <c r="O12" i="22"/>
  <c r="O11" s="1"/>
  <c r="G37" i="29"/>
  <c r="H24"/>
  <c r="G24" s="1"/>
  <c r="F24" s="1"/>
  <c r="F25" s="1"/>
  <c r="G30"/>
  <c r="F30" s="1"/>
  <c r="E30" s="1"/>
  <c r="D30" s="1"/>
  <c r="C30" s="1"/>
  <c r="B30" s="1"/>
  <c r="I18"/>
  <c r="H18" s="1"/>
  <c r="J19"/>
  <c r="K14"/>
  <c r="K12"/>
  <c r="K6"/>
  <c r="L7"/>
  <c r="L79" s="1"/>
  <c r="K5"/>
  <c r="K77" s="1"/>
  <c r="Z17" i="15"/>
  <c r="AA17"/>
  <c r="D9" i="3"/>
  <c r="D8" s="1"/>
  <c r="O7" i="4"/>
  <c r="O12" i="2"/>
  <c r="K12"/>
  <c r="G12"/>
  <c r="J12"/>
  <c r="M12"/>
  <c r="I12"/>
  <c r="N12"/>
  <c r="F12"/>
  <c r="P12"/>
  <c r="L12"/>
  <c r="H12"/>
  <c r="D9"/>
  <c r="D8" s="1"/>
  <c r="D11" i="3"/>
  <c r="D11" i="2"/>
  <c r="H84" i="26"/>
  <c r="I73"/>
  <c r="H49"/>
  <c r="H38"/>
  <c r="W8" i="10"/>
  <c r="U15" i="15"/>
  <c r="J15" s="1"/>
  <c r="J6"/>
  <c r="O8"/>
  <c r="O7"/>
  <c r="H16" i="26"/>
  <c r="K110" i="20"/>
  <c r="L35" i="18"/>
  <c r="P40" i="22"/>
  <c r="D40" s="1"/>
  <c r="S34" i="21"/>
  <c r="S24"/>
  <c r="M9" i="39" s="1"/>
  <c r="U6" i="10"/>
  <c r="U8" s="1"/>
  <c r="M7" i="1"/>
  <c r="N7"/>
  <c r="L7"/>
  <c r="J13" i="15"/>
  <c r="Q14"/>
  <c r="I14" s="1"/>
  <c r="J11"/>
  <c r="X19" s="1"/>
  <c r="Y19" s="1"/>
  <c r="O10"/>
  <c r="O9"/>
  <c r="L9" s="1"/>
  <c r="I9" s="1"/>
  <c r="J5"/>
  <c r="K108" i="20"/>
  <c r="K111"/>
  <c r="K109"/>
  <c r="K112"/>
  <c r="P12" i="22"/>
  <c r="O9" i="1"/>
  <c r="O11" s="1"/>
  <c r="O10" i="4" s="1"/>
  <c r="P9" i="1"/>
  <c r="P11" s="1"/>
  <c r="P10" i="4" s="1"/>
  <c r="J45" i="20"/>
  <c r="J53" s="1"/>
  <c r="J60" s="1"/>
  <c r="J66" s="1"/>
  <c r="J73" s="1"/>
  <c r="J69"/>
  <c r="L28" i="18"/>
  <c r="L18"/>
  <c r="U53" i="21"/>
  <c r="U16" i="15" s="1"/>
  <c r="Q49" i="21"/>
  <c r="K78" i="29" l="1"/>
  <c r="C37" i="30"/>
  <c r="F27" i="3"/>
  <c r="D24"/>
  <c r="J27"/>
  <c r="D20"/>
  <c r="N27"/>
  <c r="D16"/>
  <c r="E27"/>
  <c r="D25"/>
  <c r="I27"/>
  <c r="D21"/>
  <c r="M27"/>
  <c r="D17"/>
  <c r="G27"/>
  <c r="D23"/>
  <c r="K27"/>
  <c r="D19"/>
  <c r="O27"/>
  <c r="D15"/>
  <c r="D22"/>
  <c r="H27"/>
  <c r="L27"/>
  <c r="D18"/>
  <c r="O15" i="2"/>
  <c r="P15"/>
  <c r="P27" s="1"/>
  <c r="K19"/>
  <c r="L19"/>
  <c r="F25"/>
  <c r="E25"/>
  <c r="I22"/>
  <c r="H22"/>
  <c r="J21"/>
  <c r="I21"/>
  <c r="J20"/>
  <c r="K20"/>
  <c r="G23"/>
  <c r="H23"/>
  <c r="N17"/>
  <c r="M17"/>
  <c r="M18"/>
  <c r="L18"/>
  <c r="F24"/>
  <c r="G24"/>
  <c r="N16"/>
  <c r="O16"/>
  <c r="AA19" i="15"/>
  <c r="Z19"/>
  <c r="L11"/>
  <c r="I11" s="1"/>
  <c r="E17" i="12"/>
  <c r="D10"/>
  <c r="C10" s="1"/>
  <c r="C6"/>
  <c r="M19"/>
  <c r="M20" s="1"/>
  <c r="N13" i="19" s="1"/>
  <c r="E19" i="12"/>
  <c r="E20" s="1"/>
  <c r="O17"/>
  <c r="O19" s="1"/>
  <c r="O20" s="1"/>
  <c r="P13" i="19" s="1"/>
  <c r="J48" i="20"/>
  <c r="M7" i="39"/>
  <c r="M11" s="1"/>
  <c r="M16" i="36"/>
  <c r="K10" i="24"/>
  <c r="L15" i="11"/>
  <c r="O15"/>
  <c r="G15"/>
  <c r="J15"/>
  <c r="M15"/>
  <c r="M16" s="1"/>
  <c r="E15"/>
  <c r="K15"/>
  <c r="N15"/>
  <c r="I15"/>
  <c r="C1"/>
  <c r="D11" s="1"/>
  <c r="L16"/>
  <c r="N16"/>
  <c r="W22" i="38"/>
  <c r="F22" s="1"/>
  <c r="F43" s="1"/>
  <c r="W24"/>
  <c r="F24" s="1"/>
  <c r="F45" s="1"/>
  <c r="W21"/>
  <c r="W23"/>
  <c r="F23" s="1"/>
  <c r="F44" s="1"/>
  <c r="W25"/>
  <c r="F25" s="1"/>
  <c r="F49" s="1"/>
  <c r="AA22"/>
  <c r="H22" s="1"/>
  <c r="H43" s="1"/>
  <c r="AA24"/>
  <c r="H24" s="1"/>
  <c r="H45" s="1"/>
  <c r="AA21"/>
  <c r="AA23"/>
  <c r="H23" s="1"/>
  <c r="H44" s="1"/>
  <c r="AA25"/>
  <c r="H25" s="1"/>
  <c r="H49" s="1"/>
  <c r="AE22"/>
  <c r="J22" s="1"/>
  <c r="J43" s="1"/>
  <c r="AE24"/>
  <c r="J24" s="1"/>
  <c r="J45" s="1"/>
  <c r="AE21"/>
  <c r="AE23"/>
  <c r="J23" s="1"/>
  <c r="J44" s="1"/>
  <c r="AE25"/>
  <c r="J25" s="1"/>
  <c r="J49" s="1"/>
  <c r="AI22"/>
  <c r="L22" s="1"/>
  <c r="L43" s="1"/>
  <c r="AI24"/>
  <c r="L24" s="1"/>
  <c r="L45" s="1"/>
  <c r="AI21"/>
  <c r="AI23"/>
  <c r="L23" s="1"/>
  <c r="L44" s="1"/>
  <c r="AI25"/>
  <c r="L25" s="1"/>
  <c r="L49" s="1"/>
  <c r="AK23"/>
  <c r="M23" s="1"/>
  <c r="M44" s="1"/>
  <c r="AK25"/>
  <c r="M25" s="1"/>
  <c r="M49" s="1"/>
  <c r="AK22"/>
  <c r="M22" s="1"/>
  <c r="M43" s="1"/>
  <c r="AK24"/>
  <c r="M24" s="1"/>
  <c r="M45" s="1"/>
  <c r="AK21"/>
  <c r="AM22"/>
  <c r="N22" s="1"/>
  <c r="N43" s="1"/>
  <c r="AM24"/>
  <c r="N24" s="1"/>
  <c r="N45" s="1"/>
  <c r="AM21"/>
  <c r="AM23"/>
  <c r="N23" s="1"/>
  <c r="N44" s="1"/>
  <c r="AM25"/>
  <c r="N25" s="1"/>
  <c r="N49" s="1"/>
  <c r="P9" i="25"/>
  <c r="P43" s="1"/>
  <c r="P44" s="1"/>
  <c r="P42" s="1"/>
  <c r="P14"/>
  <c r="P15" s="1"/>
  <c r="O8" s="1"/>
  <c r="D12" i="3"/>
  <c r="V16" i="4" s="1"/>
  <c r="M10" i="24"/>
  <c r="I10"/>
  <c r="E10"/>
  <c r="D13"/>
  <c r="G10"/>
  <c r="O10"/>
  <c r="D11"/>
  <c r="C10" i="38"/>
  <c r="L16"/>
  <c r="L53" s="1"/>
  <c r="F16"/>
  <c r="F53" s="1"/>
  <c r="H16"/>
  <c r="H53" s="1"/>
  <c r="J16"/>
  <c r="J53" s="1"/>
  <c r="K17" i="19" s="1"/>
  <c r="M16" i="38"/>
  <c r="M53" s="1"/>
  <c r="N17" i="19" s="1"/>
  <c r="N16" i="38"/>
  <c r="N53" s="1"/>
  <c r="I15"/>
  <c r="G15"/>
  <c r="E15"/>
  <c r="K13"/>
  <c r="K15" s="1"/>
  <c r="D13"/>
  <c r="O13"/>
  <c r="O15" s="1"/>
  <c r="C10" i="14"/>
  <c r="J16" i="11"/>
  <c r="F15" i="14"/>
  <c r="F16" s="1"/>
  <c r="J19" i="12"/>
  <c r="J20" s="1"/>
  <c r="H19"/>
  <c r="H20" s="1"/>
  <c r="D17"/>
  <c r="D19" s="1"/>
  <c r="D20" s="1"/>
  <c r="E13" i="19" s="1"/>
  <c r="I19" i="12"/>
  <c r="I20" s="1"/>
  <c r="F19"/>
  <c r="F20" s="1"/>
  <c r="G19"/>
  <c r="G20" s="1"/>
  <c r="N19"/>
  <c r="N20" s="1"/>
  <c r="O13" i="19" s="1"/>
  <c r="K19" i="12"/>
  <c r="K20" s="1"/>
  <c r="L13" i="19" s="1"/>
  <c r="L19" i="12"/>
  <c r="L20" s="1"/>
  <c r="M13" i="19" s="1"/>
  <c r="H15" i="14"/>
  <c r="H16" s="1"/>
  <c r="N15" i="13"/>
  <c r="C14"/>
  <c r="K23" i="18" s="1"/>
  <c r="O6" i="13"/>
  <c r="J31" i="33"/>
  <c r="B31"/>
  <c r="B32"/>
  <c r="E31"/>
  <c r="E32"/>
  <c r="G31"/>
  <c r="G32"/>
  <c r="K31"/>
  <c r="K32"/>
  <c r="H6" i="11"/>
  <c r="D6"/>
  <c r="F6"/>
  <c r="F31" i="33"/>
  <c r="F32"/>
  <c r="I31"/>
  <c r="I32"/>
  <c r="D31"/>
  <c r="D32"/>
  <c r="H31"/>
  <c r="H32"/>
  <c r="C31"/>
  <c r="C32"/>
  <c r="C11" i="14"/>
  <c r="C5" i="13"/>
  <c r="C1" s="1"/>
  <c r="D11" s="1"/>
  <c r="C11" i="12"/>
  <c r="C48" i="29"/>
  <c r="D49"/>
  <c r="D42"/>
  <c r="C42" s="1"/>
  <c r="B42" s="1"/>
  <c r="K8"/>
  <c r="K80" s="1"/>
  <c r="N30" i="19"/>
  <c r="E36" i="29"/>
  <c r="N31" i="19"/>
  <c r="J14" i="29"/>
  <c r="A54"/>
  <c r="B55"/>
  <c r="E43"/>
  <c r="N7" i="4"/>
  <c r="O13" i="25"/>
  <c r="O11"/>
  <c r="L13"/>
  <c r="L11"/>
  <c r="M7" i="4"/>
  <c r="G25" i="29"/>
  <c r="E24"/>
  <c r="D24" s="1"/>
  <c r="D25" s="1"/>
  <c r="H25"/>
  <c r="F37"/>
  <c r="G31"/>
  <c r="I19"/>
  <c r="H19"/>
  <c r="G18"/>
  <c r="J12"/>
  <c r="K13"/>
  <c r="J5"/>
  <c r="J77" s="1"/>
  <c r="K7"/>
  <c r="P45" i="24"/>
  <c r="Q45" s="1"/>
  <c r="P22"/>
  <c r="P11" i="22"/>
  <c r="L12"/>
  <c r="L11" s="1"/>
  <c r="L7" i="4"/>
  <c r="D12" i="2"/>
  <c r="V15" i="4" s="1"/>
  <c r="G84" i="26"/>
  <c r="H73"/>
  <c r="M26"/>
  <c r="M28" s="1"/>
  <c r="M29" s="1"/>
  <c r="L30" s="1"/>
  <c r="G49"/>
  <c r="G38"/>
  <c r="J7" i="15"/>
  <c r="J8"/>
  <c r="G16" i="26"/>
  <c r="N12" i="22"/>
  <c r="M12"/>
  <c r="O12" i="1"/>
  <c r="O9" i="4"/>
  <c r="O8" s="1"/>
  <c r="P12" i="1"/>
  <c r="P9" i="4"/>
  <c r="P8" s="1"/>
  <c r="J47" i="20"/>
  <c r="J49" s="1"/>
  <c r="S35" i="21"/>
  <c r="M9" i="1"/>
  <c r="N9"/>
  <c r="N11" s="1"/>
  <c r="N10" i="4" s="1"/>
  <c r="J10" i="15"/>
  <c r="R18" i="18"/>
  <c r="L92" i="20"/>
  <c r="N24" i="19" s="1"/>
  <c r="D24" s="1"/>
  <c r="L90" i="20"/>
  <c r="M48" i="26"/>
  <c r="M50" s="1"/>
  <c r="K7" i="1"/>
  <c r="L9"/>
  <c r="Q53" i="21"/>
  <c r="O16" i="15" s="1"/>
  <c r="O12"/>
  <c r="J9"/>
  <c r="K113" i="20"/>
  <c r="P13" i="22"/>
  <c r="O13"/>
  <c r="M53" i="21"/>
  <c r="J55" i="20" s="1"/>
  <c r="J56" s="1"/>
  <c r="M49" i="21"/>
  <c r="L37" i="18"/>
  <c r="H85" i="20"/>
  <c r="J85"/>
  <c r="J98"/>
  <c r="J106" s="1"/>
  <c r="J118" s="1"/>
  <c r="J124" s="1"/>
  <c r="D13" i="19" l="1"/>
  <c r="D27" i="3"/>
  <c r="N27" i="2"/>
  <c r="D16"/>
  <c r="F27"/>
  <c r="D24"/>
  <c r="G27"/>
  <c r="D23"/>
  <c r="J27"/>
  <c r="D20"/>
  <c r="K27"/>
  <c r="D19"/>
  <c r="O27"/>
  <c r="D15"/>
  <c r="O24" i="24"/>
  <c r="P24"/>
  <c r="P36" s="1"/>
  <c r="L27" i="2"/>
  <c r="D18"/>
  <c r="M27"/>
  <c r="D17"/>
  <c r="D21"/>
  <c r="I27"/>
  <c r="H27"/>
  <c r="D22"/>
  <c r="D25"/>
  <c r="E27"/>
  <c r="P11" i="4"/>
  <c r="O15" i="1"/>
  <c r="P15"/>
  <c r="O11" i="4"/>
  <c r="O16" i="1"/>
  <c r="O15" i="4" s="1"/>
  <c r="N16" i="1"/>
  <c r="M55" i="39"/>
  <c r="M66" s="1"/>
  <c r="G9" i="37"/>
  <c r="K28" i="18"/>
  <c r="P46" i="24"/>
  <c r="O40" s="1"/>
  <c r="M83" i="26"/>
  <c r="M85" s="1"/>
  <c r="D10" i="2"/>
  <c r="I16" i="11"/>
  <c r="O16"/>
  <c r="K16"/>
  <c r="G16"/>
  <c r="AK26" i="38"/>
  <c r="AE26"/>
  <c r="W26"/>
  <c r="AM26"/>
  <c r="AI26"/>
  <c r="AA26"/>
  <c r="U23"/>
  <c r="E23" s="1"/>
  <c r="E44" s="1"/>
  <c r="U25"/>
  <c r="E25" s="1"/>
  <c r="E49" s="1"/>
  <c r="U22"/>
  <c r="E22" s="1"/>
  <c r="U24"/>
  <c r="E24" s="1"/>
  <c r="U21"/>
  <c r="AC23"/>
  <c r="I23" s="1"/>
  <c r="I44" s="1"/>
  <c r="AC25"/>
  <c r="I25" s="1"/>
  <c r="I49" s="1"/>
  <c r="AC22"/>
  <c r="I22" s="1"/>
  <c r="AC24"/>
  <c r="I24" s="1"/>
  <c r="AC21"/>
  <c r="AG23"/>
  <c r="K23" s="1"/>
  <c r="K44" s="1"/>
  <c r="AG25"/>
  <c r="K25" s="1"/>
  <c r="K49" s="1"/>
  <c r="AG22"/>
  <c r="K22" s="1"/>
  <c r="AG24"/>
  <c r="K24" s="1"/>
  <c r="K45" s="1"/>
  <c r="AG21"/>
  <c r="Y23"/>
  <c r="G23" s="1"/>
  <c r="G44" s="1"/>
  <c r="Y25"/>
  <c r="G25" s="1"/>
  <c r="G49" s="1"/>
  <c r="Y22"/>
  <c r="G22" s="1"/>
  <c r="G43" s="1"/>
  <c r="Y24"/>
  <c r="G24" s="1"/>
  <c r="G45" s="1"/>
  <c r="Y21"/>
  <c r="N21"/>
  <c r="M21"/>
  <c r="L21"/>
  <c r="L26" s="1"/>
  <c r="J21"/>
  <c r="H21"/>
  <c r="H26" s="1"/>
  <c r="F21"/>
  <c r="AO22"/>
  <c r="O22" s="1"/>
  <c r="AO24"/>
  <c r="O24" s="1"/>
  <c r="O45" s="1"/>
  <c r="AO21"/>
  <c r="AO23"/>
  <c r="O23" s="1"/>
  <c r="O44" s="1"/>
  <c r="AO25"/>
  <c r="O25" s="1"/>
  <c r="O49" s="1"/>
  <c r="O9" i="24"/>
  <c r="L15" i="26" s="1"/>
  <c r="L17" s="1"/>
  <c r="O14" i="24"/>
  <c r="O15" s="1"/>
  <c r="N8" s="1"/>
  <c r="D10" i="3"/>
  <c r="L10" i="25"/>
  <c r="D10" i="24"/>
  <c r="K79" i="29"/>
  <c r="E16" i="38"/>
  <c r="E53" s="1"/>
  <c r="E43"/>
  <c r="E45"/>
  <c r="I16"/>
  <c r="I53" s="1"/>
  <c r="I43"/>
  <c r="I45"/>
  <c r="O16"/>
  <c r="O53" s="1"/>
  <c r="P17" i="19" s="1"/>
  <c r="O43" i="38"/>
  <c r="K16"/>
  <c r="K53" s="1"/>
  <c r="K43"/>
  <c r="G16"/>
  <c r="G53" s="1"/>
  <c r="C13"/>
  <c r="C15" s="1"/>
  <c r="C16" s="1"/>
  <c r="C53" s="1"/>
  <c r="D15"/>
  <c r="C17" i="12"/>
  <c r="C19" s="1"/>
  <c r="R8" i="10" s="1"/>
  <c r="D13" i="14"/>
  <c r="C13" s="1"/>
  <c r="C15" s="1"/>
  <c r="C16" s="1"/>
  <c r="O10" i="13"/>
  <c r="N16"/>
  <c r="H10" i="11"/>
  <c r="D10"/>
  <c r="F10"/>
  <c r="F13" s="1"/>
  <c r="M6" i="13"/>
  <c r="I6"/>
  <c r="G6"/>
  <c r="D6"/>
  <c r="L6"/>
  <c r="E6"/>
  <c r="J6"/>
  <c r="F6"/>
  <c r="K6"/>
  <c r="H6"/>
  <c r="C6" i="11"/>
  <c r="C11"/>
  <c r="B48" i="29"/>
  <c r="C49"/>
  <c r="J6"/>
  <c r="J7" s="1"/>
  <c r="J8"/>
  <c r="J80" s="1"/>
  <c r="M30" i="19"/>
  <c r="A55" i="29"/>
  <c r="I14"/>
  <c r="D36"/>
  <c r="D43"/>
  <c r="C24"/>
  <c r="B24" s="1"/>
  <c r="O10" i="25"/>
  <c r="P41"/>
  <c r="P22" s="1"/>
  <c r="P45"/>
  <c r="Q45" s="1"/>
  <c r="K13"/>
  <c r="K11"/>
  <c r="M13"/>
  <c r="M11"/>
  <c r="N13"/>
  <c r="N11"/>
  <c r="E25" i="29"/>
  <c r="E37"/>
  <c r="F31"/>
  <c r="F18"/>
  <c r="G19"/>
  <c r="I12"/>
  <c r="J13"/>
  <c r="I5"/>
  <c r="I77" s="1"/>
  <c r="M13" i="22"/>
  <c r="M11"/>
  <c r="O10"/>
  <c r="N13"/>
  <c r="N11"/>
  <c r="P10"/>
  <c r="K12"/>
  <c r="K7" i="4"/>
  <c r="M11" i="1"/>
  <c r="M10" i="4" s="1"/>
  <c r="L11" i="1"/>
  <c r="L10" i="4" s="1"/>
  <c r="F84" i="26"/>
  <c r="G73"/>
  <c r="M51"/>
  <c r="L52" s="1"/>
  <c r="F49"/>
  <c r="F38"/>
  <c r="M31"/>
  <c r="M33" s="1"/>
  <c r="M15"/>
  <c r="M17" s="1"/>
  <c r="F16"/>
  <c r="N12" i="1"/>
  <c r="N9" i="4"/>
  <c r="N8" s="1"/>
  <c r="M9"/>
  <c r="M8" s="1"/>
  <c r="L9"/>
  <c r="L8" s="1"/>
  <c r="L91" i="20"/>
  <c r="L93"/>
  <c r="L94" s="1"/>
  <c r="J7" i="1"/>
  <c r="L13" i="22"/>
  <c r="J16" i="15"/>
  <c r="M42" i="39" s="1"/>
  <c r="J12" i="15"/>
  <c r="D19" i="19" l="1"/>
  <c r="G48" i="37" s="1"/>
  <c r="L17" i="19"/>
  <c r="D17" s="1"/>
  <c r="G47" i="37" s="1"/>
  <c r="P24" i="25"/>
  <c r="P36" s="1"/>
  <c r="O24"/>
  <c r="D24" i="24"/>
  <c r="D27" i="2"/>
  <c r="N11" i="4"/>
  <c r="N17" i="1"/>
  <c r="N16" i="4" s="1"/>
  <c r="M17" i="1"/>
  <c r="N15" i="4"/>
  <c r="N26" s="1"/>
  <c r="D16" i="1"/>
  <c r="D15" i="4" s="1"/>
  <c r="O14"/>
  <c r="O26" s="1"/>
  <c r="O27" i="1"/>
  <c r="M86" i="26"/>
  <c r="L87" s="1"/>
  <c r="X18" i="15"/>
  <c r="L10"/>
  <c r="I10" s="1"/>
  <c r="K55" i="39" s="1"/>
  <c r="P46" i="25"/>
  <c r="O40" s="1"/>
  <c r="F15" i="11"/>
  <c r="E16"/>
  <c r="L42" i="38"/>
  <c r="L50" s="1"/>
  <c r="H42"/>
  <c r="H50" s="1"/>
  <c r="Y26"/>
  <c r="AC26"/>
  <c r="N42"/>
  <c r="N50" s="1"/>
  <c r="N26"/>
  <c r="F42"/>
  <c r="F50" s="1"/>
  <c r="F26"/>
  <c r="J42"/>
  <c r="J50" s="1"/>
  <c r="J26"/>
  <c r="M42"/>
  <c r="M50" s="1"/>
  <c r="M26"/>
  <c r="AO26"/>
  <c r="AG26"/>
  <c r="U26"/>
  <c r="G21"/>
  <c r="K21"/>
  <c r="I21"/>
  <c r="E21"/>
  <c r="S23"/>
  <c r="S25"/>
  <c r="S22"/>
  <c r="S24"/>
  <c r="S21"/>
  <c r="R21" s="1"/>
  <c r="O21"/>
  <c r="O43" i="24"/>
  <c r="O44" s="1"/>
  <c r="O42" s="1"/>
  <c r="L48" i="26"/>
  <c r="L50" s="1"/>
  <c r="L51" s="1"/>
  <c r="K52" s="1"/>
  <c r="N14" i="24"/>
  <c r="N15" s="1"/>
  <c r="M8" s="1"/>
  <c r="N9"/>
  <c r="N43" s="1"/>
  <c r="N44" s="1"/>
  <c r="P9" i="22"/>
  <c r="M61" i="26" s="1"/>
  <c r="M63" s="1"/>
  <c r="P14" i="22"/>
  <c r="P15" s="1"/>
  <c r="O8" s="1"/>
  <c r="O9" s="1"/>
  <c r="O9" i="25"/>
  <c r="L26" i="26" s="1"/>
  <c r="L28" s="1"/>
  <c r="L29" s="1"/>
  <c r="O14" i="25"/>
  <c r="O15" s="1"/>
  <c r="N8" s="1"/>
  <c r="J79" i="29"/>
  <c r="J78"/>
  <c r="M31" i="19" s="1"/>
  <c r="D16" i="38"/>
  <c r="D53" s="1"/>
  <c r="C20" i="12"/>
  <c r="I6" i="29"/>
  <c r="D15" i="14"/>
  <c r="D16" s="1"/>
  <c r="K10" i="13"/>
  <c r="K13" s="1"/>
  <c r="K15" s="1"/>
  <c r="J10"/>
  <c r="L10"/>
  <c r="L13" s="1"/>
  <c r="L15" s="1"/>
  <c r="G10"/>
  <c r="M10"/>
  <c r="M13" s="1"/>
  <c r="H10"/>
  <c r="F10"/>
  <c r="F13" s="1"/>
  <c r="F15" s="1"/>
  <c r="E10"/>
  <c r="D10"/>
  <c r="I10"/>
  <c r="I13" s="1"/>
  <c r="I15" s="1"/>
  <c r="O13"/>
  <c r="O15" s="1"/>
  <c r="C10" i="11"/>
  <c r="D13"/>
  <c r="D15" s="1"/>
  <c r="H13"/>
  <c r="H15" s="1"/>
  <c r="C6" i="13"/>
  <c r="C11"/>
  <c r="M10" i="25"/>
  <c r="K10"/>
  <c r="O43"/>
  <c r="O44" s="1"/>
  <c r="O42" s="1"/>
  <c r="O41" s="1"/>
  <c r="O22" s="1"/>
  <c r="A48" i="29"/>
  <c r="A49" s="1"/>
  <c r="B49"/>
  <c r="I8"/>
  <c r="I80" s="1"/>
  <c r="L30" i="19"/>
  <c r="H14" i="29"/>
  <c r="C36"/>
  <c r="C25"/>
  <c r="C43"/>
  <c r="N10" i="25"/>
  <c r="J13"/>
  <c r="J11"/>
  <c r="D37" i="29"/>
  <c r="E31"/>
  <c r="B25"/>
  <c r="A24"/>
  <c r="A25" s="1"/>
  <c r="F19"/>
  <c r="E18"/>
  <c r="H12"/>
  <c r="I13"/>
  <c r="H5"/>
  <c r="M10" i="22"/>
  <c r="L10"/>
  <c r="K11"/>
  <c r="K13"/>
  <c r="N10"/>
  <c r="L12" i="1"/>
  <c r="J12" i="22"/>
  <c r="J11" s="1"/>
  <c r="J7" i="4"/>
  <c r="M12" i="1"/>
  <c r="M37" i="26"/>
  <c r="M39" s="1"/>
  <c r="M40" s="1"/>
  <c r="L41" s="1"/>
  <c r="M88"/>
  <c r="M90" s="1"/>
  <c r="M72"/>
  <c r="M74" s="1"/>
  <c r="M75" s="1"/>
  <c r="E84"/>
  <c r="F73"/>
  <c r="M53"/>
  <c r="M55" s="1"/>
  <c r="E49"/>
  <c r="E38"/>
  <c r="K30"/>
  <c r="L18"/>
  <c r="K19" s="1"/>
  <c r="M18"/>
  <c r="L19" s="1"/>
  <c r="E16"/>
  <c r="P43" i="22"/>
  <c r="K9" i="1"/>
  <c r="O25" i="25" l="1"/>
  <c r="N25"/>
  <c r="O36"/>
  <c r="D24"/>
  <c r="L11" i="4"/>
  <c r="L19" i="1"/>
  <c r="L18" i="4" s="1"/>
  <c r="K19" i="1"/>
  <c r="M11" i="4"/>
  <c r="M18" i="1"/>
  <c r="M17" i="4" s="1"/>
  <c r="L18" i="1"/>
  <c r="N26" i="14"/>
  <c r="O8" i="19"/>
  <c r="M16" i="4"/>
  <c r="M26" s="1"/>
  <c r="M27" i="1"/>
  <c r="D17"/>
  <c r="D16" i="4" s="1"/>
  <c r="N27" i="1"/>
  <c r="M26" i="14"/>
  <c r="N8" i="19"/>
  <c r="M4" i="26"/>
  <c r="M6" s="1"/>
  <c r="M7" s="1"/>
  <c r="K66" i="39"/>
  <c r="K67" s="1"/>
  <c r="K68" s="1"/>
  <c r="K69" s="1"/>
  <c r="K70" s="1"/>
  <c r="K72" s="1"/>
  <c r="K56"/>
  <c r="K57" s="1"/>
  <c r="K58" s="1"/>
  <c r="K59" s="1"/>
  <c r="K61" s="1"/>
  <c r="Z18" i="15"/>
  <c r="AA18"/>
  <c r="Y18"/>
  <c r="L72" i="26"/>
  <c r="L74" s="1"/>
  <c r="L75" s="1"/>
  <c r="K76" s="1"/>
  <c r="L31"/>
  <c r="L33" s="1"/>
  <c r="K48"/>
  <c r="K50" s="1"/>
  <c r="K51" s="1"/>
  <c r="J52" s="1"/>
  <c r="L53"/>
  <c r="L55" s="1"/>
  <c r="D24" i="38"/>
  <c r="C24" s="1"/>
  <c r="C45" s="1"/>
  <c r="T8" i="15" s="1"/>
  <c r="N8" s="1"/>
  <c r="R24" i="38"/>
  <c r="D25"/>
  <c r="D49" s="1"/>
  <c r="R25"/>
  <c r="D22"/>
  <c r="C22" s="1"/>
  <c r="C43" s="1"/>
  <c r="T6" i="15" s="1"/>
  <c r="R22" i="38"/>
  <c r="D23"/>
  <c r="C23" s="1"/>
  <c r="C44" s="1"/>
  <c r="T7" i="15" s="1"/>
  <c r="N7" s="1"/>
  <c r="R23" i="38"/>
  <c r="E42"/>
  <c r="E50" s="1"/>
  <c r="E26"/>
  <c r="K42"/>
  <c r="K50" s="1"/>
  <c r="K26"/>
  <c r="I42"/>
  <c r="I50" s="1"/>
  <c r="I26"/>
  <c r="G42"/>
  <c r="G50" s="1"/>
  <c r="G26"/>
  <c r="O42"/>
  <c r="O50" s="1"/>
  <c r="O26"/>
  <c r="S26"/>
  <c r="D21"/>
  <c r="M14" i="24"/>
  <c r="M15" s="1"/>
  <c r="L8" s="1"/>
  <c r="M9"/>
  <c r="J15" i="26" s="1"/>
  <c r="J17" s="1"/>
  <c r="O41" i="24"/>
  <c r="O22" s="1"/>
  <c r="O45"/>
  <c r="O46" s="1"/>
  <c r="N40" s="1"/>
  <c r="N42"/>
  <c r="L37" i="26"/>
  <c r="L39" s="1"/>
  <c r="L40" s="1"/>
  <c r="K41" s="1"/>
  <c r="L4"/>
  <c r="L6" s="1"/>
  <c r="L7" s="1"/>
  <c r="K8" s="1"/>
  <c r="L61"/>
  <c r="L63" s="1"/>
  <c r="L64" s="1"/>
  <c r="K65" s="1"/>
  <c r="O43" i="22"/>
  <c r="O44" s="1"/>
  <c r="O14"/>
  <c r="O15" s="1"/>
  <c r="N8" s="1"/>
  <c r="N14" s="1"/>
  <c r="N15" s="1"/>
  <c r="M8" s="1"/>
  <c r="N9" i="25"/>
  <c r="N43" s="1"/>
  <c r="N44" s="1"/>
  <c r="N42" s="1"/>
  <c r="N14"/>
  <c r="N15" s="1"/>
  <c r="M8" s="1"/>
  <c r="M9" s="1"/>
  <c r="M43" s="1"/>
  <c r="M44" s="1"/>
  <c r="M42" s="1"/>
  <c r="G5" i="29"/>
  <c r="H77"/>
  <c r="K30" i="19" s="1"/>
  <c r="I78" i="29"/>
  <c r="L31" i="19" s="1"/>
  <c r="I7" i="29"/>
  <c r="I79" s="1"/>
  <c r="H6"/>
  <c r="H78" s="1"/>
  <c r="K31" i="19" s="1"/>
  <c r="C10" i="13"/>
  <c r="E13"/>
  <c r="E15" s="1"/>
  <c r="H13"/>
  <c r="H15" s="1"/>
  <c r="I16"/>
  <c r="K16"/>
  <c r="O16"/>
  <c r="F16"/>
  <c r="L16"/>
  <c r="M15"/>
  <c r="D13"/>
  <c r="G13"/>
  <c r="G15" s="1"/>
  <c r="J13"/>
  <c r="J15" s="1"/>
  <c r="H16" i="11"/>
  <c r="F16"/>
  <c r="C13"/>
  <c r="J10" i="25"/>
  <c r="H8" i="29"/>
  <c r="H80" s="1"/>
  <c r="G14"/>
  <c r="B36"/>
  <c r="A42"/>
  <c r="B43"/>
  <c r="L83" i="26"/>
  <c r="L85" s="1"/>
  <c r="O45" i="25"/>
  <c r="O46" s="1"/>
  <c r="N40" s="1"/>
  <c r="C37" i="29"/>
  <c r="D31"/>
  <c r="D18"/>
  <c r="E19"/>
  <c r="G12"/>
  <c r="H13"/>
  <c r="H7"/>
  <c r="P44" i="22"/>
  <c r="P42" s="1"/>
  <c r="P41" s="1"/>
  <c r="K10"/>
  <c r="K11" i="1"/>
  <c r="K10" i="4" s="1"/>
  <c r="M64" i="26"/>
  <c r="L65" s="1"/>
  <c r="L76"/>
  <c r="D84"/>
  <c r="E73"/>
  <c r="M42"/>
  <c r="M44" s="1"/>
  <c r="D49"/>
  <c r="D38"/>
  <c r="M20"/>
  <c r="M22" s="1"/>
  <c r="L20"/>
  <c r="L22" s="1"/>
  <c r="K15"/>
  <c r="K17" s="1"/>
  <c r="D16"/>
  <c r="L8"/>
  <c r="I7" i="1"/>
  <c r="K9" i="4"/>
  <c r="K8" s="1"/>
  <c r="J9" i="1"/>
  <c r="D25" i="25" l="1"/>
  <c r="O25" i="24"/>
  <c r="O36" s="1"/>
  <c r="N25"/>
  <c r="L26" i="14"/>
  <c r="M8" i="19"/>
  <c r="K18" i="4"/>
  <c r="D19" i="1"/>
  <c r="D18" i="4" s="1"/>
  <c r="L17"/>
  <c r="L26" s="1"/>
  <c r="L27" i="1"/>
  <c r="D18"/>
  <c r="D17" i="4" s="1"/>
  <c r="R26" i="38"/>
  <c r="C15" i="11"/>
  <c r="C16" s="1"/>
  <c r="L86" i="26"/>
  <c r="K87" s="1"/>
  <c r="Q7" i="15"/>
  <c r="Q8"/>
  <c r="D45" i="38"/>
  <c r="D43"/>
  <c r="D44"/>
  <c r="J26" i="26"/>
  <c r="J28" s="1"/>
  <c r="J29" s="1"/>
  <c r="I30" s="1"/>
  <c r="N9" i="22"/>
  <c r="K37" i="26" s="1"/>
  <c r="K39" s="1"/>
  <c r="K40" s="1"/>
  <c r="J41" s="1"/>
  <c r="L42"/>
  <c r="L44" s="1"/>
  <c r="K26"/>
  <c r="K28" s="1"/>
  <c r="C25" i="38"/>
  <c r="D42"/>
  <c r="D26"/>
  <c r="C21"/>
  <c r="N45" i="24"/>
  <c r="N46" s="1"/>
  <c r="M40" s="1"/>
  <c r="N41"/>
  <c r="N22" s="1"/>
  <c r="L14"/>
  <c r="L15" s="1"/>
  <c r="K8" s="1"/>
  <c r="L9"/>
  <c r="M43"/>
  <c r="M44" s="1"/>
  <c r="M42" s="1"/>
  <c r="J48" i="26"/>
  <c r="J50" s="1"/>
  <c r="J51" s="1"/>
  <c r="I52" s="1"/>
  <c r="M14" i="22"/>
  <c r="M15" s="1"/>
  <c r="L8" s="1"/>
  <c r="M9"/>
  <c r="O42"/>
  <c r="K83" i="26"/>
  <c r="K85" s="1"/>
  <c r="M14" i="25"/>
  <c r="M15" s="1"/>
  <c r="L8" s="1"/>
  <c r="F5" i="29"/>
  <c r="G77"/>
  <c r="H79"/>
  <c r="G8"/>
  <c r="F8" s="1"/>
  <c r="H16" i="13"/>
  <c r="E16"/>
  <c r="J16"/>
  <c r="C13"/>
  <c r="C15" s="1"/>
  <c r="D15"/>
  <c r="G16"/>
  <c r="M16"/>
  <c r="D16" i="11"/>
  <c r="G6" i="29"/>
  <c r="G78" s="1"/>
  <c r="J30" i="19"/>
  <c r="F14" i="29"/>
  <c r="F80" s="1"/>
  <c r="A43"/>
  <c r="K4" i="26"/>
  <c r="K6" s="1"/>
  <c r="K7" s="1"/>
  <c r="J8" s="1"/>
  <c r="N45" i="25"/>
  <c r="N46" s="1"/>
  <c r="M40" s="1"/>
  <c r="M41" s="1"/>
  <c r="M22" s="1"/>
  <c r="N41"/>
  <c r="N22" s="1"/>
  <c r="I7" i="4"/>
  <c r="A36" i="29"/>
  <c r="A37" s="1"/>
  <c r="B37"/>
  <c r="C31"/>
  <c r="C18"/>
  <c r="D19"/>
  <c r="F12"/>
  <c r="G13"/>
  <c r="K12" i="1"/>
  <c r="J11"/>
  <c r="J10" i="4" s="1"/>
  <c r="L66" i="26"/>
  <c r="L68" s="1"/>
  <c r="M66"/>
  <c r="M68" s="1"/>
  <c r="L77"/>
  <c r="L79" s="1"/>
  <c r="M77"/>
  <c r="M79" s="1"/>
  <c r="J83"/>
  <c r="J85" s="1"/>
  <c r="J86" s="1"/>
  <c r="K72"/>
  <c r="K74" s="1"/>
  <c r="K75" s="1"/>
  <c r="C84"/>
  <c r="D73"/>
  <c r="K53"/>
  <c r="K55" s="1"/>
  <c r="C49"/>
  <c r="C38"/>
  <c r="J18"/>
  <c r="I19" s="1"/>
  <c r="K18"/>
  <c r="J19" s="1"/>
  <c r="C16"/>
  <c r="M9"/>
  <c r="M11" s="1"/>
  <c r="L9"/>
  <c r="L11" s="1"/>
  <c r="I12" i="22"/>
  <c r="H7" i="1"/>
  <c r="J9" i="4"/>
  <c r="J8" s="1"/>
  <c r="G7" i="1"/>
  <c r="I9"/>
  <c r="J13" i="22"/>
  <c r="M12" i="21"/>
  <c r="J12"/>
  <c r="I12"/>
  <c r="R28" i="18"/>
  <c r="R37" s="1"/>
  <c r="M26" i="25" l="1"/>
  <c r="N26"/>
  <c r="N36" s="1"/>
  <c r="L27"/>
  <c r="M27"/>
  <c r="N26" i="24"/>
  <c r="M26"/>
  <c r="J72" i="26"/>
  <c r="J74" s="1"/>
  <c r="J75" s="1"/>
  <c r="N36" i="24"/>
  <c r="D25"/>
  <c r="K11" i="4"/>
  <c r="K20" i="1"/>
  <c r="J20"/>
  <c r="K26" i="14"/>
  <c r="L8" i="19"/>
  <c r="D50" i="38"/>
  <c r="N43" i="22"/>
  <c r="N44" s="1"/>
  <c r="K61" i="26"/>
  <c r="K63" s="1"/>
  <c r="K64" s="1"/>
  <c r="J65" s="1"/>
  <c r="L88"/>
  <c r="L90" s="1"/>
  <c r="K86"/>
  <c r="J87" s="1"/>
  <c r="M45" i="24"/>
  <c r="M46" s="1"/>
  <c r="L40" s="1"/>
  <c r="M92" i="26"/>
  <c r="L92"/>
  <c r="X16" i="15"/>
  <c r="L8"/>
  <c r="I8" s="1"/>
  <c r="X15"/>
  <c r="L7"/>
  <c r="I7" s="1"/>
  <c r="K9" i="26"/>
  <c r="K11" s="1"/>
  <c r="K88"/>
  <c r="K90" s="1"/>
  <c r="K29"/>
  <c r="J30" s="1"/>
  <c r="J31" s="1"/>
  <c r="J33" s="1"/>
  <c r="J53"/>
  <c r="J55" s="1"/>
  <c r="C49" i="38"/>
  <c r="T13" i="15" s="1"/>
  <c r="C42" i="38"/>
  <c r="K14" i="24"/>
  <c r="K15" s="1"/>
  <c r="J8" s="1"/>
  <c r="K9"/>
  <c r="M41"/>
  <c r="M22" s="1"/>
  <c r="L43"/>
  <c r="I48" i="26"/>
  <c r="I50" s="1"/>
  <c r="I15"/>
  <c r="I17" s="1"/>
  <c r="I18" s="1"/>
  <c r="H19" s="1"/>
  <c r="J61"/>
  <c r="J63" s="1"/>
  <c r="J64" s="1"/>
  <c r="I65" s="1"/>
  <c r="J37"/>
  <c r="J39" s="1"/>
  <c r="J40" s="1"/>
  <c r="I41" s="1"/>
  <c r="M43" i="22"/>
  <c r="J4" i="26"/>
  <c r="J6" s="1"/>
  <c r="L14" i="22"/>
  <c r="L15" s="1"/>
  <c r="K8" s="1"/>
  <c r="L9"/>
  <c r="L14" i="25"/>
  <c r="L15" s="1"/>
  <c r="K8" s="1"/>
  <c r="L9"/>
  <c r="K42" i="26"/>
  <c r="K44" s="1"/>
  <c r="E8" i="29"/>
  <c r="E5"/>
  <c r="F77"/>
  <c r="G80"/>
  <c r="J31" i="19"/>
  <c r="G7" i="29"/>
  <c r="G79" s="1"/>
  <c r="D16" i="13"/>
  <c r="C16"/>
  <c r="M45" i="25"/>
  <c r="M46" s="1"/>
  <c r="L40" s="1"/>
  <c r="F6" i="29"/>
  <c r="F7" s="1"/>
  <c r="I30" i="19"/>
  <c r="E14" i="29"/>
  <c r="G13" i="25"/>
  <c r="G11"/>
  <c r="H7" i="4"/>
  <c r="I13" i="25"/>
  <c r="I11"/>
  <c r="A30" i="29"/>
  <c r="B31"/>
  <c r="C19"/>
  <c r="B18"/>
  <c r="E12"/>
  <c r="F13"/>
  <c r="F79" s="1"/>
  <c r="J10" i="22"/>
  <c r="I11"/>
  <c r="G12"/>
  <c r="G7" i="4"/>
  <c r="J12" i="1"/>
  <c r="I11"/>
  <c r="I10" i="4" s="1"/>
  <c r="I87" i="26"/>
  <c r="J76"/>
  <c r="I76"/>
  <c r="B84"/>
  <c r="C73"/>
  <c r="B49"/>
  <c r="B38"/>
  <c r="J20"/>
  <c r="J22" s="1"/>
  <c r="K20"/>
  <c r="K22" s="1"/>
  <c r="B16"/>
  <c r="K6" i="10"/>
  <c r="X15" i="4"/>
  <c r="W15" s="1"/>
  <c r="K17" i="10" s="1"/>
  <c r="H12" i="22"/>
  <c r="H11" s="1"/>
  <c r="I9" i="4"/>
  <c r="I8" s="1"/>
  <c r="K39" i="18"/>
  <c r="I13" i="22"/>
  <c r="H9" i="1"/>
  <c r="F7"/>
  <c r="E80" i="29" l="1"/>
  <c r="R13" i="15"/>
  <c r="D27" i="25"/>
  <c r="M36"/>
  <c r="D26"/>
  <c r="L27" i="24"/>
  <c r="M27"/>
  <c r="M36"/>
  <c r="D26"/>
  <c r="J11" i="4"/>
  <c r="J21" i="1"/>
  <c r="J20" i="4" s="1"/>
  <c r="I21" i="1"/>
  <c r="J19" i="4"/>
  <c r="J26" s="1"/>
  <c r="D20" i="1"/>
  <c r="D19" i="4" s="1"/>
  <c r="J27" i="1"/>
  <c r="N42" i="22"/>
  <c r="J66" i="26"/>
  <c r="J68" s="1"/>
  <c r="K19" i="4"/>
  <c r="K26" s="1"/>
  <c r="K27" i="1"/>
  <c r="K66" i="26"/>
  <c r="K68" s="1"/>
  <c r="J42"/>
  <c r="J44" s="1"/>
  <c r="Y15" i="15"/>
  <c r="Z15"/>
  <c r="AA15"/>
  <c r="Z16"/>
  <c r="Y16"/>
  <c r="AA16"/>
  <c r="I20" i="26"/>
  <c r="I22" s="1"/>
  <c r="K31"/>
  <c r="K33" s="1"/>
  <c r="T15" i="15"/>
  <c r="T5"/>
  <c r="T12" s="1"/>
  <c r="C50" i="38"/>
  <c r="C26"/>
  <c r="L44" i="24"/>
  <c r="L42" s="1"/>
  <c r="I72" i="26"/>
  <c r="I74" s="1"/>
  <c r="J14" i="24"/>
  <c r="J15" s="1"/>
  <c r="I8" s="1"/>
  <c r="J9"/>
  <c r="I51" i="26"/>
  <c r="H52" s="1"/>
  <c r="K43" i="24"/>
  <c r="H48" i="26"/>
  <c r="H50" s="1"/>
  <c r="H15"/>
  <c r="H17" s="1"/>
  <c r="H18" s="1"/>
  <c r="G19" s="1"/>
  <c r="I37"/>
  <c r="I39" s="1"/>
  <c r="I4"/>
  <c r="I6" s="1"/>
  <c r="I61"/>
  <c r="I63" s="1"/>
  <c r="L43" i="22"/>
  <c r="J7" i="26"/>
  <c r="I8" s="1"/>
  <c r="K14" i="22"/>
  <c r="K15" s="1"/>
  <c r="J8" s="1"/>
  <c r="J14" s="1"/>
  <c r="J15" s="1"/>
  <c r="I8" s="1"/>
  <c r="K9"/>
  <c r="M44"/>
  <c r="M42" s="1"/>
  <c r="L43" i="25"/>
  <c r="I26" i="26"/>
  <c r="I28" s="1"/>
  <c r="K14" i="25"/>
  <c r="K15" s="1"/>
  <c r="J8" s="1"/>
  <c r="K9"/>
  <c r="I10"/>
  <c r="D5" i="29"/>
  <c r="D8" s="1"/>
  <c r="E77"/>
  <c r="H30" i="19" s="1"/>
  <c r="F78" i="29"/>
  <c r="I31" i="19" s="1"/>
  <c r="G10" i="25"/>
  <c r="E6" i="29"/>
  <c r="E7" s="1"/>
  <c r="D14"/>
  <c r="A31"/>
  <c r="F13" i="25"/>
  <c r="F11"/>
  <c r="H13"/>
  <c r="H11"/>
  <c r="B19" i="29"/>
  <c r="A18"/>
  <c r="A19" s="1"/>
  <c r="D12"/>
  <c r="E13"/>
  <c r="H6" i="10"/>
  <c r="G11" i="22"/>
  <c r="I10"/>
  <c r="F12"/>
  <c r="F11" s="1"/>
  <c r="F7" i="4"/>
  <c r="I12" i="1"/>
  <c r="H11"/>
  <c r="H10" i="4" s="1"/>
  <c r="J77" i="26"/>
  <c r="J79" s="1"/>
  <c r="K77"/>
  <c r="K79" s="1"/>
  <c r="K92" s="1"/>
  <c r="J88"/>
  <c r="J90" s="1"/>
  <c r="B73"/>
  <c r="K7" i="10"/>
  <c r="X16" i="4"/>
  <c r="W16" s="1"/>
  <c r="K18" i="10" s="1"/>
  <c r="H9" i="4"/>
  <c r="H8" s="1"/>
  <c r="E7" i="1"/>
  <c r="G9"/>
  <c r="H13" i="22"/>
  <c r="R6" i="15" l="1"/>
  <c r="R15"/>
  <c r="Q13"/>
  <c r="D27" i="24"/>
  <c r="J26" i="14"/>
  <c r="K8" i="19"/>
  <c r="I20" i="4"/>
  <c r="D21" i="1"/>
  <c r="D20" i="4" s="1"/>
  <c r="I11"/>
  <c r="I22" i="1"/>
  <c r="I21" i="4" s="1"/>
  <c r="H22" i="1"/>
  <c r="I26" i="14"/>
  <c r="J8" i="19"/>
  <c r="H20" i="26"/>
  <c r="H22" s="1"/>
  <c r="I75"/>
  <c r="H76" s="1"/>
  <c r="I53"/>
  <c r="I55" s="1"/>
  <c r="I9" i="22"/>
  <c r="F37" i="26" s="1"/>
  <c r="F39" s="1"/>
  <c r="F40" s="1"/>
  <c r="E41" s="1"/>
  <c r="J9" i="22"/>
  <c r="J9" i="26"/>
  <c r="J11" s="1"/>
  <c r="J92" s="1"/>
  <c r="Q5" i="15"/>
  <c r="I5" s="1"/>
  <c r="T16"/>
  <c r="G52" i="37" s="1"/>
  <c r="H51" i="26"/>
  <c r="G52" s="1"/>
  <c r="J43" i="24"/>
  <c r="G48" i="26"/>
  <c r="G50" s="1"/>
  <c r="G51" s="1"/>
  <c r="F52" s="1"/>
  <c r="K44" i="24"/>
  <c r="K42" s="1"/>
  <c r="H72" i="26"/>
  <c r="H74" s="1"/>
  <c r="I14" i="24"/>
  <c r="I15" s="1"/>
  <c r="H8" s="1"/>
  <c r="I9"/>
  <c r="L45"/>
  <c r="L46" s="1"/>
  <c r="K40" s="1"/>
  <c r="L41"/>
  <c r="L22" s="1"/>
  <c r="G15" i="26"/>
  <c r="G17" s="1"/>
  <c r="I64"/>
  <c r="H65" s="1"/>
  <c r="I40"/>
  <c r="H41" s="1"/>
  <c r="I14" i="22"/>
  <c r="I15" s="1"/>
  <c r="H8" s="1"/>
  <c r="H37" i="26"/>
  <c r="H39" s="1"/>
  <c r="H61"/>
  <c r="H63" s="1"/>
  <c r="H4"/>
  <c r="H6" s="1"/>
  <c r="K43" i="22"/>
  <c r="L44"/>
  <c r="L42" s="1"/>
  <c r="I7" i="26"/>
  <c r="H8" s="1"/>
  <c r="K43" i="25"/>
  <c r="H26" i="26"/>
  <c r="H28" s="1"/>
  <c r="H29" s="1"/>
  <c r="G30" s="1"/>
  <c r="I29"/>
  <c r="H30" s="1"/>
  <c r="L44" i="25"/>
  <c r="L42" s="1"/>
  <c r="I83" i="26"/>
  <c r="I85" s="1"/>
  <c r="I86" s="1"/>
  <c r="J9" i="25"/>
  <c r="J14"/>
  <c r="J15" s="1"/>
  <c r="I8" s="1"/>
  <c r="I9" s="1"/>
  <c r="I43" s="1"/>
  <c r="I44" s="1"/>
  <c r="I42" s="1"/>
  <c r="H10"/>
  <c r="F10"/>
  <c r="E79" i="29"/>
  <c r="D80"/>
  <c r="C5"/>
  <c r="C8" s="1"/>
  <c r="D77"/>
  <c r="E78"/>
  <c r="H31" i="19" s="1"/>
  <c r="D6" i="29"/>
  <c r="D78" s="1"/>
  <c r="G31" i="19" s="1"/>
  <c r="C14" i="29"/>
  <c r="G30" i="19"/>
  <c r="E7" i="4"/>
  <c r="C12" i="29"/>
  <c r="D13"/>
  <c r="H10" i="22"/>
  <c r="H12" i="1"/>
  <c r="G11"/>
  <c r="G10" i="4" s="1"/>
  <c r="G18" i="26"/>
  <c r="F19" s="1"/>
  <c r="F15"/>
  <c r="F17" s="1"/>
  <c r="E12" i="22"/>
  <c r="G9" i="4"/>
  <c r="G8" s="1"/>
  <c r="M18" i="10"/>
  <c r="M17"/>
  <c r="F9" i="1"/>
  <c r="G13" i="22"/>
  <c r="E9" i="1"/>
  <c r="E11" s="1"/>
  <c r="E10" i="4" s="1"/>
  <c r="D7" i="1"/>
  <c r="I13" i="15" l="1"/>
  <c r="Q15"/>
  <c r="I15" s="1"/>
  <c r="N6"/>
  <c r="R12"/>
  <c r="R16" s="1"/>
  <c r="Q6"/>
  <c r="K28" i="24"/>
  <c r="L28"/>
  <c r="L36" s="1"/>
  <c r="I77" i="26"/>
  <c r="I79" s="1"/>
  <c r="I27" i="1"/>
  <c r="I26" i="4"/>
  <c r="H11"/>
  <c r="H23" i="1"/>
  <c r="H22" i="4" s="1"/>
  <c r="G23" i="1"/>
  <c r="H21" i="4"/>
  <c r="H26" s="1"/>
  <c r="D22" i="1"/>
  <c r="D21" i="4" s="1"/>
  <c r="H27" i="1"/>
  <c r="H9" i="22"/>
  <c r="I42" i="26"/>
  <c r="I44" s="1"/>
  <c r="I66"/>
  <c r="I68" s="1"/>
  <c r="K41" i="24"/>
  <c r="K22" s="1"/>
  <c r="H75" i="26"/>
  <c r="G76" s="1"/>
  <c r="F4"/>
  <c r="F6" s="1"/>
  <c r="F7" s="1"/>
  <c r="F61"/>
  <c r="F63" s="1"/>
  <c r="F64" s="1"/>
  <c r="E65" s="1"/>
  <c r="I43" i="22"/>
  <c r="I44" s="1"/>
  <c r="I42"/>
  <c r="H53" i="26"/>
  <c r="H55" s="1"/>
  <c r="H31"/>
  <c r="H33" s="1"/>
  <c r="G61"/>
  <c r="G63" s="1"/>
  <c r="G64" s="1"/>
  <c r="F65" s="1"/>
  <c r="G4"/>
  <c r="G6" s="1"/>
  <c r="G7" s="1"/>
  <c r="F8" s="1"/>
  <c r="G37"/>
  <c r="G39" s="1"/>
  <c r="G40" s="1"/>
  <c r="F41" s="1"/>
  <c r="J43" i="22"/>
  <c r="F26" i="26"/>
  <c r="F28" s="1"/>
  <c r="F29" s="1"/>
  <c r="E30" s="1"/>
  <c r="I43" i="24"/>
  <c r="I44" s="1"/>
  <c r="I42" s="1"/>
  <c r="F48" i="26"/>
  <c r="F50" s="1"/>
  <c r="F51" s="1"/>
  <c r="E52" s="1"/>
  <c r="H14" i="24"/>
  <c r="H15" s="1"/>
  <c r="G8" s="1"/>
  <c r="H9"/>
  <c r="J44"/>
  <c r="J42" s="1"/>
  <c r="G72" i="26"/>
  <c r="G74" s="1"/>
  <c r="G53"/>
  <c r="G55" s="1"/>
  <c r="K45" i="24"/>
  <c r="K46" s="1"/>
  <c r="J40" s="1"/>
  <c r="K44" i="22"/>
  <c r="K42" s="1"/>
  <c r="H64" i="26"/>
  <c r="G65" s="1"/>
  <c r="I9"/>
  <c r="I11" s="1"/>
  <c r="H14" i="22"/>
  <c r="H15" s="1"/>
  <c r="G8" s="1"/>
  <c r="H7" i="26"/>
  <c r="G8" s="1"/>
  <c r="G9" s="1"/>
  <c r="G11" s="1"/>
  <c r="H40"/>
  <c r="G41" s="1"/>
  <c r="G42" s="1"/>
  <c r="G44" s="1"/>
  <c r="I31"/>
  <c r="I33" s="1"/>
  <c r="J43" i="25"/>
  <c r="G26" i="26"/>
  <c r="G28" s="1"/>
  <c r="H87"/>
  <c r="L41" i="25"/>
  <c r="L22" s="1"/>
  <c r="L45"/>
  <c r="L46" s="1"/>
  <c r="K40" s="1"/>
  <c r="K44"/>
  <c r="K42" s="1"/>
  <c r="H83" i="26"/>
  <c r="H85" s="1"/>
  <c r="H86" s="1"/>
  <c r="I14" i="25"/>
  <c r="I15" s="1"/>
  <c r="H8" s="1"/>
  <c r="H9" s="1"/>
  <c r="C80" i="29"/>
  <c r="B5"/>
  <c r="B77" s="1"/>
  <c r="C77"/>
  <c r="F30" i="19" s="1"/>
  <c r="C6" i="29"/>
  <c r="D7"/>
  <c r="D79" s="1"/>
  <c r="B14"/>
  <c r="F83" i="26"/>
  <c r="F85" s="1"/>
  <c r="E13" i="25"/>
  <c r="E11"/>
  <c r="D11" s="1"/>
  <c r="H7" i="10" s="1"/>
  <c r="B12" i="29"/>
  <c r="C13"/>
  <c r="C20" i="11"/>
  <c r="D7" i="4"/>
  <c r="D12" i="22"/>
  <c r="G10"/>
  <c r="G9" s="1"/>
  <c r="E11"/>
  <c r="D11" s="1"/>
  <c r="G12" i="1"/>
  <c r="F11"/>
  <c r="F10" i="4" s="1"/>
  <c r="E37" i="26"/>
  <c r="E39" s="1"/>
  <c r="E40" s="1"/>
  <c r="D41" s="1"/>
  <c r="E61"/>
  <c r="E63" s="1"/>
  <c r="F42"/>
  <c r="F44" s="1"/>
  <c r="G20"/>
  <c r="G22" s="1"/>
  <c r="F18"/>
  <c r="E19" s="1"/>
  <c r="E8"/>
  <c r="H43" i="22"/>
  <c r="H44" s="1"/>
  <c r="E4" i="26"/>
  <c r="E6" s="1"/>
  <c r="E7" s="1"/>
  <c r="X14" i="4"/>
  <c r="E12" i="1"/>
  <c r="F9" i="4"/>
  <c r="F8" s="1"/>
  <c r="E9"/>
  <c r="E8" s="1"/>
  <c r="D9" i="1"/>
  <c r="D9" i="4" s="1"/>
  <c r="J6" i="16" s="1"/>
  <c r="K5" i="10"/>
  <c r="E13" i="22"/>
  <c r="D13" s="1"/>
  <c r="F13"/>
  <c r="Q12" i="15" l="1"/>
  <c r="X14"/>
  <c r="L6"/>
  <c r="I6" s="1"/>
  <c r="N12"/>
  <c r="L28" i="25"/>
  <c r="L36" s="1"/>
  <c r="K28"/>
  <c r="K29" i="24"/>
  <c r="J29"/>
  <c r="K36"/>
  <c r="D28"/>
  <c r="E11" i="4"/>
  <c r="C26" i="1"/>
  <c r="E26"/>
  <c r="G11" i="4"/>
  <c r="G24" i="1"/>
  <c r="G23" i="4" s="1"/>
  <c r="F24" i="1"/>
  <c r="G22" i="4"/>
  <c r="G26" s="1"/>
  <c r="G27" i="1"/>
  <c r="D23"/>
  <c r="D22" i="4" s="1"/>
  <c r="G26" i="14"/>
  <c r="H8" i="19"/>
  <c r="H26" i="14"/>
  <c r="I8" i="19"/>
  <c r="F86" i="26"/>
  <c r="E87" s="1"/>
  <c r="G75"/>
  <c r="F76" s="1"/>
  <c r="H77"/>
  <c r="H79" s="1"/>
  <c r="F66"/>
  <c r="F68" s="1"/>
  <c r="F53"/>
  <c r="F55" s="1"/>
  <c r="G66"/>
  <c r="G68" s="1"/>
  <c r="H42"/>
  <c r="H44" s="1"/>
  <c r="H9"/>
  <c r="H11" s="1"/>
  <c r="H66"/>
  <c r="H68" s="1"/>
  <c r="G77"/>
  <c r="G79" s="1"/>
  <c r="J44" i="22"/>
  <c r="J42" s="1"/>
  <c r="F72" i="26"/>
  <c r="F74" s="1"/>
  <c r="J41" i="24"/>
  <c r="J22" s="1"/>
  <c r="K45" i="25"/>
  <c r="K46" s="1"/>
  <c r="J40" s="1"/>
  <c r="H43" i="24"/>
  <c r="H44" s="1"/>
  <c r="H42" s="1"/>
  <c r="E48" i="26"/>
  <c r="E50" s="1"/>
  <c r="E51" s="1"/>
  <c r="D52" s="1"/>
  <c r="G14" i="24"/>
  <c r="G15" s="1"/>
  <c r="F8" s="1"/>
  <c r="G9"/>
  <c r="D15" i="26" s="1"/>
  <c r="D17" s="1"/>
  <c r="E15"/>
  <c r="E17" s="1"/>
  <c r="E18" s="1"/>
  <c r="D19" s="1"/>
  <c r="J45" i="24"/>
  <c r="J46" s="1"/>
  <c r="I40" s="1"/>
  <c r="I41" s="1"/>
  <c r="I22" s="1"/>
  <c r="G14" i="22"/>
  <c r="G15" s="1"/>
  <c r="F8" s="1"/>
  <c r="H14" i="25"/>
  <c r="H15" s="1"/>
  <c r="G8" s="1"/>
  <c r="G9" s="1"/>
  <c r="I88" i="26"/>
  <c r="I90" s="1"/>
  <c r="I92" s="1"/>
  <c r="G87"/>
  <c r="G29"/>
  <c r="F30" s="1"/>
  <c r="F31" s="1"/>
  <c r="F33" s="1"/>
  <c r="J44" i="25"/>
  <c r="J42" s="1"/>
  <c r="G83" i="26"/>
  <c r="G85" s="1"/>
  <c r="G86" s="1"/>
  <c r="K41" i="25"/>
  <c r="K22" s="1"/>
  <c r="H43"/>
  <c r="E26" i="26"/>
  <c r="E28" s="1"/>
  <c r="E29" s="1"/>
  <c r="D30" s="1"/>
  <c r="X17" i="4"/>
  <c r="B8" i="29"/>
  <c r="B80" s="1"/>
  <c r="C78"/>
  <c r="F31" i="19" s="1"/>
  <c r="C7" i="29"/>
  <c r="C79" s="1"/>
  <c r="B6"/>
  <c r="A6" s="1"/>
  <c r="A8"/>
  <c r="E30" i="19"/>
  <c r="D30" s="1"/>
  <c r="G59" i="37" s="1"/>
  <c r="A14" i="29"/>
  <c r="A80" s="1"/>
  <c r="E10" i="25"/>
  <c r="A12" i="29"/>
  <c r="B13"/>
  <c r="A5"/>
  <c r="B7"/>
  <c r="D8" i="4"/>
  <c r="F10" i="22"/>
  <c r="D10"/>
  <c r="H5" i="10"/>
  <c r="E10" i="22"/>
  <c r="F12" i="1"/>
  <c r="D11"/>
  <c r="D37" i="26"/>
  <c r="D39" s="1"/>
  <c r="D40" s="1"/>
  <c r="C41" s="1"/>
  <c r="D61"/>
  <c r="D63" s="1"/>
  <c r="D64" s="1"/>
  <c r="C65" s="1"/>
  <c r="E64"/>
  <c r="D65" s="1"/>
  <c r="E42"/>
  <c r="E44" s="1"/>
  <c r="F20"/>
  <c r="F22" s="1"/>
  <c r="F9"/>
  <c r="F11" s="1"/>
  <c r="G43" i="22"/>
  <c r="G44" s="1"/>
  <c r="D4" i="26"/>
  <c r="D6" s="1"/>
  <c r="D7" s="1"/>
  <c r="D8"/>
  <c r="D8" i="1"/>
  <c r="H42" i="22"/>
  <c r="K8" i="10"/>
  <c r="M16"/>
  <c r="Q16" i="15" l="1"/>
  <c r="L12"/>
  <c r="I12" s="1"/>
  <c r="N16"/>
  <c r="Z14"/>
  <c r="Z20" s="1"/>
  <c r="D19" i="11" s="1"/>
  <c r="Y14" i="15"/>
  <c r="Y20" s="1"/>
  <c r="D19" i="14" s="1"/>
  <c r="AA14" i="15"/>
  <c r="AA20" s="1"/>
  <c r="D19" i="13" s="1"/>
  <c r="X20" i="15"/>
  <c r="K29" i="25"/>
  <c r="J29"/>
  <c r="K36"/>
  <c r="D28"/>
  <c r="H31" i="24"/>
  <c r="I31"/>
  <c r="J30"/>
  <c r="I30"/>
  <c r="J36"/>
  <c r="D29"/>
  <c r="F11" i="4"/>
  <c r="F25" i="1"/>
  <c r="F24" i="4" s="1"/>
  <c r="E25" i="1"/>
  <c r="F26" i="14"/>
  <c r="G8" i="19"/>
  <c r="E25" i="4"/>
  <c r="D26" i="1"/>
  <c r="D25" i="4" s="1"/>
  <c r="F23"/>
  <c r="F26" s="1"/>
  <c r="D24" i="1"/>
  <c r="D23" i="4" s="1"/>
  <c r="F27" i="1"/>
  <c r="C25" i="4"/>
  <c r="C26" s="1"/>
  <c r="Q11" i="18" s="1"/>
  <c r="C27" i="1"/>
  <c r="G14" i="25"/>
  <c r="G15" s="1"/>
  <c r="F8" s="1"/>
  <c r="F14" s="1"/>
  <c r="F15" s="1"/>
  <c r="E8" s="1"/>
  <c r="E9" s="1"/>
  <c r="E43" s="1"/>
  <c r="E31" i="26"/>
  <c r="E33" s="1"/>
  <c r="F75"/>
  <c r="E76" s="1"/>
  <c r="F9" i="22"/>
  <c r="C61" i="26" s="1"/>
  <c r="C63" s="1"/>
  <c r="J45" i="25"/>
  <c r="J46" s="1"/>
  <c r="I40" s="1"/>
  <c r="I45" s="1"/>
  <c r="I46" s="1"/>
  <c r="H40" s="1"/>
  <c r="E53" i="26"/>
  <c r="E55" s="1"/>
  <c r="E72"/>
  <c r="E74" s="1"/>
  <c r="I45" i="24"/>
  <c r="I46" s="1"/>
  <c r="H40" s="1"/>
  <c r="H41" s="1"/>
  <c r="H22" s="1"/>
  <c r="F14"/>
  <c r="F15" s="1"/>
  <c r="E8" s="1"/>
  <c r="F9"/>
  <c r="C15" i="26" s="1"/>
  <c r="C17" s="1"/>
  <c r="G43" i="24"/>
  <c r="G44" s="1"/>
  <c r="G42" s="1"/>
  <c r="D48" i="26"/>
  <c r="D50" s="1"/>
  <c r="D51" s="1"/>
  <c r="C52" s="1"/>
  <c r="F14" i="22"/>
  <c r="F15" s="1"/>
  <c r="E8" s="1"/>
  <c r="E14" s="1"/>
  <c r="E15" s="1"/>
  <c r="G43" i="25"/>
  <c r="D26" i="26"/>
  <c r="D28" s="1"/>
  <c r="D29" s="1"/>
  <c r="C30" s="1"/>
  <c r="F87"/>
  <c r="F88" s="1"/>
  <c r="F90" s="1"/>
  <c r="J41" i="25"/>
  <c r="J22" s="1"/>
  <c r="G31" i="26"/>
  <c r="G33" s="1"/>
  <c r="H88"/>
  <c r="H90" s="1"/>
  <c r="H92" s="1"/>
  <c r="H44" i="25"/>
  <c r="H42" s="1"/>
  <c r="E83" i="26"/>
  <c r="E85" s="1"/>
  <c r="U16" i="4"/>
  <c r="U15"/>
  <c r="U14"/>
  <c r="B79" i="29"/>
  <c r="B78"/>
  <c r="E31" i="19" s="1"/>
  <c r="D31" s="1"/>
  <c r="G35" i="37" s="1"/>
  <c r="G37" s="1"/>
  <c r="D12" i="1"/>
  <c r="D10" s="1"/>
  <c r="D10" i="4"/>
  <c r="J9" i="16" s="1"/>
  <c r="J10" s="1"/>
  <c r="A7" i="29"/>
  <c r="A77"/>
  <c r="A13"/>
  <c r="A78"/>
  <c r="J20" i="16" s="1"/>
  <c r="H8" i="10"/>
  <c r="E66" i="26"/>
  <c r="E68" s="1"/>
  <c r="D66"/>
  <c r="D68" s="1"/>
  <c r="F77"/>
  <c r="F79" s="1"/>
  <c r="D42"/>
  <c r="D44" s="1"/>
  <c r="D18"/>
  <c r="C19" s="1"/>
  <c r="E20"/>
  <c r="E22" s="1"/>
  <c r="E9"/>
  <c r="E11" s="1"/>
  <c r="C8"/>
  <c r="G42" i="22"/>
  <c r="A79" i="29" l="1"/>
  <c r="L13" i="27"/>
  <c r="E19" i="14"/>
  <c r="F19" s="1"/>
  <c r="G19" s="1"/>
  <c r="H19" s="1"/>
  <c r="I19" s="1"/>
  <c r="J19" s="1"/>
  <c r="K19" s="1"/>
  <c r="L19" s="1"/>
  <c r="M19" s="1"/>
  <c r="N19" s="1"/>
  <c r="O19" s="1"/>
  <c r="G8" i="37"/>
  <c r="L16" i="15"/>
  <c r="I16" s="1"/>
  <c r="D28" i="13"/>
  <c r="E19"/>
  <c r="E19" i="11"/>
  <c r="D29"/>
  <c r="I30" i="25"/>
  <c r="J30"/>
  <c r="J36" s="1"/>
  <c r="D29"/>
  <c r="H36" i="24"/>
  <c r="D31"/>
  <c r="G32"/>
  <c r="H32"/>
  <c r="I36"/>
  <c r="D30"/>
  <c r="G10" i="37"/>
  <c r="G11"/>
  <c r="E24" i="4"/>
  <c r="E26" s="1"/>
  <c r="E27" i="1"/>
  <c r="D25"/>
  <c r="D24" i="4" s="1"/>
  <c r="C37" i="26"/>
  <c r="C39" s="1"/>
  <c r="C40" s="1"/>
  <c r="B41" s="1"/>
  <c r="E26" i="14"/>
  <c r="F8" i="19"/>
  <c r="F92" i="26"/>
  <c r="F9" i="25"/>
  <c r="C26" i="26" s="1"/>
  <c r="C28" s="1"/>
  <c r="C29" s="1"/>
  <c r="B30" s="1"/>
  <c r="F43" i="22"/>
  <c r="F44" s="1"/>
  <c r="C4" i="26"/>
  <c r="C6" s="1"/>
  <c r="C7" s="1"/>
  <c r="B8" s="1"/>
  <c r="E86"/>
  <c r="D87" s="1"/>
  <c r="E75"/>
  <c r="D76" s="1"/>
  <c r="I41" i="25"/>
  <c r="I22" s="1"/>
  <c r="D31" i="26"/>
  <c r="D33" s="1"/>
  <c r="E9" i="22"/>
  <c r="D72" i="26"/>
  <c r="D74" s="1"/>
  <c r="H45" i="24"/>
  <c r="H46" s="1"/>
  <c r="G40" s="1"/>
  <c r="G45" s="1"/>
  <c r="G46" s="1"/>
  <c r="F40" s="1"/>
  <c r="D53" i="26"/>
  <c r="D55" s="1"/>
  <c r="E88"/>
  <c r="E90" s="1"/>
  <c r="E14" i="24"/>
  <c r="E15" s="1"/>
  <c r="E9"/>
  <c r="F43"/>
  <c r="F44" s="1"/>
  <c r="F42" s="1"/>
  <c r="C48" i="26"/>
  <c r="C50" s="1"/>
  <c r="C51" s="1"/>
  <c r="B52" s="1"/>
  <c r="G44" i="25"/>
  <c r="G42" s="1"/>
  <c r="D83" i="26"/>
  <c r="D85" s="1"/>
  <c r="F43" i="25"/>
  <c r="B26" i="26"/>
  <c r="G88"/>
  <c r="G90" s="1"/>
  <c r="G92" s="1"/>
  <c r="E14" i="25"/>
  <c r="E15" s="1"/>
  <c r="D13" s="1"/>
  <c r="D10" s="1"/>
  <c r="H41"/>
  <c r="H22" s="1"/>
  <c r="H45"/>
  <c r="H46" s="1"/>
  <c r="G40" s="1"/>
  <c r="U17" i="4"/>
  <c r="V14"/>
  <c r="D11"/>
  <c r="E44" i="25"/>
  <c r="E42" s="1"/>
  <c r="B83" i="26"/>
  <c r="C64"/>
  <c r="B65" s="1"/>
  <c r="C42"/>
  <c r="C44" s="1"/>
  <c r="C18"/>
  <c r="B19" s="1"/>
  <c r="D20"/>
  <c r="D22" s="1"/>
  <c r="D9"/>
  <c r="D11" s="1"/>
  <c r="C19" i="14" l="1"/>
  <c r="Q21" i="18"/>
  <c r="Q28" s="1"/>
  <c r="K42" i="39"/>
  <c r="K44" s="1"/>
  <c r="K45" s="1"/>
  <c r="K46" s="1"/>
  <c r="K47" s="1"/>
  <c r="K48" s="1"/>
  <c r="K49" s="1"/>
  <c r="K51" s="1"/>
  <c r="D30" i="11"/>
  <c r="D33" s="1"/>
  <c r="E14" i="19" s="1"/>
  <c r="D32" i="11"/>
  <c r="F19" i="13"/>
  <c r="E28"/>
  <c r="E29" i="11"/>
  <c r="F19"/>
  <c r="D29" i="13"/>
  <c r="D32" s="1"/>
  <c r="E15" i="19" s="1"/>
  <c r="D31" i="13"/>
  <c r="F42" i="22"/>
  <c r="H31" i="25"/>
  <c r="I31"/>
  <c r="I36" s="1"/>
  <c r="H32"/>
  <c r="G32"/>
  <c r="D30"/>
  <c r="D32" i="24"/>
  <c r="D26" i="14"/>
  <c r="E8" i="19"/>
  <c r="D9" i="25"/>
  <c r="B9" s="1"/>
  <c r="A9" s="1"/>
  <c r="E77" i="26"/>
  <c r="E79" s="1"/>
  <c r="E92" s="1"/>
  <c r="D86"/>
  <c r="C87" s="1"/>
  <c r="D75"/>
  <c r="C76" s="1"/>
  <c r="G41" i="24"/>
  <c r="G22" s="1"/>
  <c r="D9" i="22"/>
  <c r="B61" i="26"/>
  <c r="B63" s="1"/>
  <c r="B4"/>
  <c r="E43" i="22"/>
  <c r="B37" i="26"/>
  <c r="F41" i="24"/>
  <c r="F22" s="1"/>
  <c r="C31" i="26"/>
  <c r="C33" s="1"/>
  <c r="F45" i="24"/>
  <c r="F46" s="1"/>
  <c r="E40" s="1"/>
  <c r="C53" i="26"/>
  <c r="C55" s="1"/>
  <c r="C72"/>
  <c r="C74" s="1"/>
  <c r="E43" i="24"/>
  <c r="D9"/>
  <c r="B48" i="26"/>
  <c r="B15"/>
  <c r="F44" i="25"/>
  <c r="F42" s="1"/>
  <c r="C83" i="26"/>
  <c r="C85" s="1"/>
  <c r="C86" s="1"/>
  <c r="B28"/>
  <c r="A26"/>
  <c r="G41" i="25"/>
  <c r="G22" s="1"/>
  <c r="G45"/>
  <c r="G46" s="1"/>
  <c r="F40" s="1"/>
  <c r="V17" i="4"/>
  <c r="W14"/>
  <c r="K16" i="10" s="1"/>
  <c r="B85" i="26"/>
  <c r="B86" s="1"/>
  <c r="A83"/>
  <c r="C66"/>
  <c r="C68" s="1"/>
  <c r="C20"/>
  <c r="C22" s="1"/>
  <c r="C9"/>
  <c r="C11" s="1"/>
  <c r="E30" i="11" l="1"/>
  <c r="E33" s="1"/>
  <c r="F14" i="19" s="1"/>
  <c r="E32" i="11"/>
  <c r="F28" i="13"/>
  <c r="G19"/>
  <c r="F29" i="11"/>
  <c r="G19"/>
  <c r="E31" i="13"/>
  <c r="E29"/>
  <c r="E32" s="1"/>
  <c r="F15" i="19" s="1"/>
  <c r="D77" i="26"/>
  <c r="D79" s="1"/>
  <c r="G33" i="25"/>
  <c r="F33"/>
  <c r="G36"/>
  <c r="D32"/>
  <c r="H36"/>
  <c r="D31"/>
  <c r="D43"/>
  <c r="S7" i="10" s="1"/>
  <c r="T7"/>
  <c r="L23" s="1"/>
  <c r="K23" s="1"/>
  <c r="F34" i="24"/>
  <c r="E34"/>
  <c r="G33"/>
  <c r="G36" s="1"/>
  <c r="F33"/>
  <c r="D88" i="26"/>
  <c r="D90" s="1"/>
  <c r="D92" s="1"/>
  <c r="C75"/>
  <c r="B76" s="1"/>
  <c r="L50" i="27"/>
  <c r="A37" i="26"/>
  <c r="B39"/>
  <c r="E44" i="22"/>
  <c r="E42" s="1"/>
  <c r="B64" i="26"/>
  <c r="A64" s="1"/>
  <c r="A63"/>
  <c r="B6"/>
  <c r="A4"/>
  <c r="T5" i="10"/>
  <c r="B9" i="22"/>
  <c r="A9" s="1"/>
  <c r="A61" i="26"/>
  <c r="D43" i="22"/>
  <c r="S5" i="10" s="1"/>
  <c r="B9" i="24"/>
  <c r="D17" i="25"/>
  <c r="N7" i="10"/>
  <c r="E7" s="1"/>
  <c r="A48" i="26"/>
  <c r="B50"/>
  <c r="E44" i="24"/>
  <c r="B72" i="26"/>
  <c r="B17"/>
  <c r="A15"/>
  <c r="D43" i="24"/>
  <c r="S6" i="10" s="1"/>
  <c r="T6"/>
  <c r="B87" i="26"/>
  <c r="B29"/>
  <c r="A29" s="1"/>
  <c r="A28"/>
  <c r="F41" i="25"/>
  <c r="F22" s="1"/>
  <c r="F45"/>
  <c r="F46" s="1"/>
  <c r="E40" s="1"/>
  <c r="W17" i="4"/>
  <c r="T16"/>
  <c r="T14"/>
  <c r="T15"/>
  <c r="A86" i="26"/>
  <c r="A85"/>
  <c r="H19" i="11" l="1"/>
  <c r="G29"/>
  <c r="H19" i="13"/>
  <c r="G28"/>
  <c r="F32" i="11"/>
  <c r="F30"/>
  <c r="F33" s="1"/>
  <c r="G14" i="19" s="1"/>
  <c r="F29" i="13"/>
  <c r="F32" s="1"/>
  <c r="G15" i="19" s="1"/>
  <c r="F31" i="13"/>
  <c r="E34" i="25"/>
  <c r="F34"/>
  <c r="F36" s="1"/>
  <c r="D33"/>
  <c r="D33" i="24"/>
  <c r="F36"/>
  <c r="D34"/>
  <c r="B66" i="26"/>
  <c r="B68" s="1"/>
  <c r="C77"/>
  <c r="C79" s="1"/>
  <c r="A68"/>
  <c r="A66"/>
  <c r="S8" i="10"/>
  <c r="A39" i="26"/>
  <c r="B40"/>
  <c r="L21" i="10"/>
  <c r="K21" s="1"/>
  <c r="N5"/>
  <c r="E5" s="1"/>
  <c r="B7" i="26"/>
  <c r="A6"/>
  <c r="A9" i="24"/>
  <c r="B17" i="25"/>
  <c r="A17" s="1"/>
  <c r="P8" i="10" s="1"/>
  <c r="J17" i="16" s="1"/>
  <c r="A31" i="26"/>
  <c r="A17"/>
  <c r="B18"/>
  <c r="E42" i="24"/>
  <c r="L22" i="10"/>
  <c r="N6"/>
  <c r="E6" s="1"/>
  <c r="T8"/>
  <c r="N8" s="1"/>
  <c r="E8" s="1"/>
  <c r="A72" i="26"/>
  <c r="B74"/>
  <c r="B75" s="1"/>
  <c r="A75" s="1"/>
  <c r="B51"/>
  <c r="A51" s="1"/>
  <c r="A50"/>
  <c r="B31"/>
  <c r="B33" s="1"/>
  <c r="A33" s="1"/>
  <c r="C88"/>
  <c r="C90" s="1"/>
  <c r="E41" i="25"/>
  <c r="E45"/>
  <c r="E46" s="1"/>
  <c r="D44" s="1"/>
  <c r="K8" i="36" s="1"/>
  <c r="T17" i="4"/>
  <c r="A88" i="26"/>
  <c r="B88"/>
  <c r="B90" s="1"/>
  <c r="G29" i="13" l="1"/>
  <c r="G32" s="1"/>
  <c r="H15" i="19" s="1"/>
  <c r="G31" i="13"/>
  <c r="G30" i="11"/>
  <c r="G33" s="1"/>
  <c r="H14" i="19" s="1"/>
  <c r="G32" i="11"/>
  <c r="H28" i="13"/>
  <c r="I19"/>
  <c r="I19" i="11"/>
  <c r="H29"/>
  <c r="D34" i="25"/>
  <c r="C92" i="26"/>
  <c r="A40"/>
  <c r="A42" s="1"/>
  <c r="B42"/>
  <c r="B44" s="1"/>
  <c r="A7"/>
  <c r="B9"/>
  <c r="B11" s="1"/>
  <c r="A11" s="1"/>
  <c r="A9"/>
  <c r="A53"/>
  <c r="B53"/>
  <c r="B55" s="1"/>
  <c r="A55" s="1"/>
  <c r="A90"/>
  <c r="A74"/>
  <c r="K22" i="10"/>
  <c r="K24" s="1"/>
  <c r="L24"/>
  <c r="E45" i="24"/>
  <c r="E46" s="1"/>
  <c r="D44" s="1"/>
  <c r="E41"/>
  <c r="A18" i="26"/>
  <c r="A20" s="1"/>
  <c r="B20"/>
  <c r="B22" s="1"/>
  <c r="A22" s="1"/>
  <c r="D41" i="25"/>
  <c r="E22"/>
  <c r="D42"/>
  <c r="H30" i="11" l="1"/>
  <c r="H33" s="1"/>
  <c r="I14" i="19" s="1"/>
  <c r="H32" i="11"/>
  <c r="J19" i="13"/>
  <c r="I28"/>
  <c r="J19" i="11"/>
  <c r="I29"/>
  <c r="H29" i="13"/>
  <c r="H32" s="1"/>
  <c r="I15" i="19" s="1"/>
  <c r="H31" i="13"/>
  <c r="D22" i="25"/>
  <c r="E35"/>
  <c r="C35"/>
  <c r="C36" s="1"/>
  <c r="A44" i="26"/>
  <c r="D42" i="24"/>
  <c r="K7" i="36"/>
  <c r="P7" i="10"/>
  <c r="P6"/>
  <c r="P5"/>
  <c r="D41" i="24"/>
  <c r="E22"/>
  <c r="B77" i="26"/>
  <c r="B79" s="1"/>
  <c r="A79" s="1"/>
  <c r="R7" i="10"/>
  <c r="R5"/>
  <c r="R6"/>
  <c r="A77" i="26"/>
  <c r="I32" i="11" l="1"/>
  <c r="I30"/>
  <c r="I33" s="1"/>
  <c r="J14" i="19" s="1"/>
  <c r="I31" i="13"/>
  <c r="I29"/>
  <c r="I32" s="1"/>
  <c r="J15" i="19" s="1"/>
  <c r="K19" i="11"/>
  <c r="J29"/>
  <c r="J28" i="13"/>
  <c r="K19"/>
  <c r="D35" i="25"/>
  <c r="D36" s="1"/>
  <c r="E36"/>
  <c r="D22" i="24"/>
  <c r="E35"/>
  <c r="C35"/>
  <c r="C36" s="1"/>
  <c r="B92" i="26"/>
  <c r="A92" s="1"/>
  <c r="L19" i="13" l="1"/>
  <c r="K28"/>
  <c r="J32" i="11"/>
  <c r="J30"/>
  <c r="J33" s="1"/>
  <c r="K14" i="19" s="1"/>
  <c r="J31" i="13"/>
  <c r="J29"/>
  <c r="J32" s="1"/>
  <c r="K15" i="19" s="1"/>
  <c r="K29" i="11"/>
  <c r="L19"/>
  <c r="D35" i="24"/>
  <c r="D36" s="1"/>
  <c r="E36"/>
  <c r="L29" i="11" l="1"/>
  <c r="M19"/>
  <c r="K31" i="13"/>
  <c r="K29"/>
  <c r="K32" s="1"/>
  <c r="L15" i="19" s="1"/>
  <c r="K32" i="11"/>
  <c r="K30"/>
  <c r="K33" s="1"/>
  <c r="L14" i="19" s="1"/>
  <c r="L28" i="13"/>
  <c r="M19"/>
  <c r="P22" i="22"/>
  <c r="P45"/>
  <c r="P46" s="1"/>
  <c r="O40" s="1"/>
  <c r="O41" s="1"/>
  <c r="M28" i="13" l="1"/>
  <c r="N19"/>
  <c r="M29" i="11"/>
  <c r="N19"/>
  <c r="L31" i="13"/>
  <c r="L29"/>
  <c r="L32" s="1"/>
  <c r="M15" i="19" s="1"/>
  <c r="L30" i="11"/>
  <c r="L33" s="1"/>
  <c r="M14" i="19" s="1"/>
  <c r="L32" i="11"/>
  <c r="P9" i="28"/>
  <c r="O24" i="22"/>
  <c r="P24"/>
  <c r="O45"/>
  <c r="O46" s="1"/>
  <c r="N40" s="1"/>
  <c r="N41" s="1"/>
  <c r="O22"/>
  <c r="Q45"/>
  <c r="M30" i="11" l="1"/>
  <c r="M33" s="1"/>
  <c r="N14" i="19" s="1"/>
  <c r="M32" i="11"/>
  <c r="N28" i="13"/>
  <c r="O19"/>
  <c r="O28" s="1"/>
  <c r="N29" i="11"/>
  <c r="O19"/>
  <c r="M31" i="13"/>
  <c r="M29"/>
  <c r="M32" s="1"/>
  <c r="N15" i="19" s="1"/>
  <c r="O11" i="28"/>
  <c r="D24" i="22"/>
  <c r="P11" i="28"/>
  <c r="P36" i="22"/>
  <c r="P23" i="28" s="1"/>
  <c r="P12" i="19" s="1"/>
  <c r="O9" i="28"/>
  <c r="O25" i="22"/>
  <c r="O12" i="28" s="1"/>
  <c r="N25" i="22"/>
  <c r="N22"/>
  <c r="N45"/>
  <c r="N46" s="1"/>
  <c r="M40" s="1"/>
  <c r="M41" s="1"/>
  <c r="O29" i="11" l="1"/>
  <c r="C19"/>
  <c r="C29" s="1"/>
  <c r="O29" i="13"/>
  <c r="O32" s="1"/>
  <c r="P15" i="19" s="1"/>
  <c r="O31" i="13"/>
  <c r="N30" i="11"/>
  <c r="N33" s="1"/>
  <c r="O14" i="19" s="1"/>
  <c r="N32" i="11"/>
  <c r="N29" i="13"/>
  <c r="N32" s="1"/>
  <c r="O15" i="19" s="1"/>
  <c r="N31" i="13"/>
  <c r="C19"/>
  <c r="C28" s="1"/>
  <c r="N12" i="28"/>
  <c r="D25" i="22"/>
  <c r="D12" i="28" s="1"/>
  <c r="D11"/>
  <c r="N9"/>
  <c r="N26" i="22"/>
  <c r="N13" i="28" s="1"/>
  <c r="M26" i="22"/>
  <c r="O36"/>
  <c r="O23" i="28" s="1"/>
  <c r="O12" i="19" s="1"/>
  <c r="M22" i="22"/>
  <c r="M45"/>
  <c r="M46" s="1"/>
  <c r="L40" s="1"/>
  <c r="L41" s="1"/>
  <c r="D15" i="19" l="1"/>
  <c r="C29" i="13"/>
  <c r="C32" s="1"/>
  <c r="C31"/>
  <c r="J15" i="16" s="1"/>
  <c r="O30" i="11"/>
  <c r="O33" s="1"/>
  <c r="P14" i="19" s="1"/>
  <c r="O32" i="11"/>
  <c r="C30"/>
  <c r="C33" s="1"/>
  <c r="C32"/>
  <c r="Q8" i="10" s="1"/>
  <c r="D14" i="19"/>
  <c r="N36" i="22"/>
  <c r="N23" i="28" s="1"/>
  <c r="N12" i="19" s="1"/>
  <c r="M9" i="28"/>
  <c r="M27" i="22"/>
  <c r="M14" i="28" s="1"/>
  <c r="L27" i="22"/>
  <c r="M13" i="28"/>
  <c r="D26" i="22"/>
  <c r="M36"/>
  <c r="M23" i="28" s="1"/>
  <c r="M12" i="19" s="1"/>
  <c r="L22" i="22"/>
  <c r="L45"/>
  <c r="L46" s="1"/>
  <c r="K40" s="1"/>
  <c r="K41" s="1"/>
  <c r="Q7" i="10" l="1"/>
  <c r="O7" s="1"/>
  <c r="L7" s="1"/>
  <c r="M7" s="1"/>
  <c r="Q6"/>
  <c r="O6" s="1"/>
  <c r="L6" s="1"/>
  <c r="M6" s="1"/>
  <c r="Q5"/>
  <c r="O5" s="1"/>
  <c r="L9" i="28"/>
  <c r="L28" i="22"/>
  <c r="L15" i="28" s="1"/>
  <c r="K28" i="22"/>
  <c r="D13" i="28"/>
  <c r="L14"/>
  <c r="D27" i="22"/>
  <c r="D14" i="28" s="1"/>
  <c r="K45" i="22"/>
  <c r="K46" s="1"/>
  <c r="J40" s="1"/>
  <c r="J41" s="1"/>
  <c r="K22"/>
  <c r="G6" i="10" l="1"/>
  <c r="F6" s="1"/>
  <c r="J6"/>
  <c r="D6"/>
  <c r="C6" s="1"/>
  <c r="K12" i="36" s="1"/>
  <c r="L5" i="10"/>
  <c r="O8"/>
  <c r="J7"/>
  <c r="D7"/>
  <c r="C7" s="1"/>
  <c r="K13" i="36" s="1"/>
  <c r="G7" i="10"/>
  <c r="F7" s="1"/>
  <c r="K9" i="28"/>
  <c r="K29" i="22"/>
  <c r="K16" i="28" s="1"/>
  <c r="J29" i="22"/>
  <c r="K15" i="28"/>
  <c r="D28" i="22"/>
  <c r="D15" i="28" s="1"/>
  <c r="K36" i="22"/>
  <c r="K23" i="28" s="1"/>
  <c r="K12" i="19" s="1"/>
  <c r="L36" i="22"/>
  <c r="L23" i="28" s="1"/>
  <c r="L12" i="19" s="1"/>
  <c r="J22" i="22"/>
  <c r="J45"/>
  <c r="J46" s="1"/>
  <c r="I40" s="1"/>
  <c r="I41" s="1"/>
  <c r="L18" i="10" l="1"/>
  <c r="J18" s="1"/>
  <c r="I18" s="1"/>
  <c r="I7"/>
  <c r="L8"/>
  <c r="M5"/>
  <c r="I6"/>
  <c r="L17"/>
  <c r="J17" s="1"/>
  <c r="I17" s="1"/>
  <c r="J9" i="28"/>
  <c r="J30" i="22"/>
  <c r="J17" i="28" s="1"/>
  <c r="I30" i="22"/>
  <c r="J16" i="28"/>
  <c r="D29" i="22"/>
  <c r="J36"/>
  <c r="J23" i="28" s="1"/>
  <c r="J12" i="19" s="1"/>
  <c r="I22" i="22"/>
  <c r="I45"/>
  <c r="I46" s="1"/>
  <c r="H40" s="1"/>
  <c r="H41" s="1"/>
  <c r="D5" i="10" l="1"/>
  <c r="J5"/>
  <c r="G5"/>
  <c r="I9" i="28"/>
  <c r="I31" i="22"/>
  <c r="I18" i="28" s="1"/>
  <c r="H31" i="22"/>
  <c r="D16" i="28"/>
  <c r="I17"/>
  <c r="D30" i="22"/>
  <c r="D17" i="28" s="1"/>
  <c r="H22" i="22"/>
  <c r="H45"/>
  <c r="H46" s="1"/>
  <c r="G40" s="1"/>
  <c r="G41" s="1"/>
  <c r="L16" i="10" l="1"/>
  <c r="J16" s="1"/>
  <c r="I16" s="1"/>
  <c r="I5"/>
  <c r="I8" s="1"/>
  <c r="J12" i="16" s="1"/>
  <c r="F28" i="14"/>
  <c r="F30" s="1"/>
  <c r="I28"/>
  <c r="I30" s="1"/>
  <c r="L28"/>
  <c r="L30" s="1"/>
  <c r="O28"/>
  <c r="E28"/>
  <c r="E30" s="1"/>
  <c r="H28"/>
  <c r="H30" s="1"/>
  <c r="K28"/>
  <c r="K30" s="1"/>
  <c r="N28"/>
  <c r="N30" s="1"/>
  <c r="D28"/>
  <c r="G28"/>
  <c r="G30" s="1"/>
  <c r="J28"/>
  <c r="J30" s="1"/>
  <c r="M28"/>
  <c r="M30" s="1"/>
  <c r="F5" i="10"/>
  <c r="F8" s="1"/>
  <c r="D8"/>
  <c r="C5"/>
  <c r="H9" i="28"/>
  <c r="H32" i="22"/>
  <c r="H19" i="28" s="1"/>
  <c r="G32" i="22"/>
  <c r="H18" i="28"/>
  <c r="D31" i="22"/>
  <c r="D18" i="28" s="1"/>
  <c r="H36" i="22"/>
  <c r="H23" i="28" s="1"/>
  <c r="H12" i="19" s="1"/>
  <c r="I36" i="22"/>
  <c r="I23" i="28" s="1"/>
  <c r="I12" i="19" s="1"/>
  <c r="G45" i="22"/>
  <c r="G46" s="1"/>
  <c r="F40" s="1"/>
  <c r="F41" s="1"/>
  <c r="G22"/>
  <c r="G33" i="14" l="1"/>
  <c r="G31"/>
  <c r="G34" s="1"/>
  <c r="H16" i="19" s="1"/>
  <c r="H27" s="1"/>
  <c r="H33" i="14"/>
  <c r="H31"/>
  <c r="H34" s="1"/>
  <c r="I16" i="19" s="1"/>
  <c r="I27" s="1"/>
  <c r="I33" i="14"/>
  <c r="I31"/>
  <c r="I34" s="1"/>
  <c r="J16" i="19" s="1"/>
  <c r="J27" s="1"/>
  <c r="K11" i="36"/>
  <c r="K10" s="1"/>
  <c r="C8" i="10"/>
  <c r="K9" i="39" s="1"/>
  <c r="K29" s="1"/>
  <c r="K30" s="1"/>
  <c r="K31" s="1"/>
  <c r="K32" s="1"/>
  <c r="K33" s="1"/>
  <c r="J33" i="14"/>
  <c r="J31"/>
  <c r="J34" s="1"/>
  <c r="K16" i="19" s="1"/>
  <c r="K27" s="1"/>
  <c r="D30" i="14"/>
  <c r="C28"/>
  <c r="K33"/>
  <c r="K31"/>
  <c r="K34" s="1"/>
  <c r="L16" i="19" s="1"/>
  <c r="L27" s="1"/>
  <c r="E33" i="14"/>
  <c r="E31"/>
  <c r="E34" s="1"/>
  <c r="F16" i="19" s="1"/>
  <c r="L33" i="14"/>
  <c r="L31"/>
  <c r="L34" s="1"/>
  <c r="M16" i="19" s="1"/>
  <c r="M27" s="1"/>
  <c r="F33" i="14"/>
  <c r="F31"/>
  <c r="F34" s="1"/>
  <c r="G16" i="19" s="1"/>
  <c r="M33" i="14"/>
  <c r="M31"/>
  <c r="M34" s="1"/>
  <c r="N16" i="19" s="1"/>
  <c r="N27" s="1"/>
  <c r="N33" i="14"/>
  <c r="N31"/>
  <c r="N34" s="1"/>
  <c r="O16" i="19" s="1"/>
  <c r="O27" s="1"/>
  <c r="N12" i="16"/>
  <c r="L32" i="27" s="1"/>
  <c r="J13" i="16"/>
  <c r="N13" s="1"/>
  <c r="L30" i="27" s="1"/>
  <c r="G9" i="28"/>
  <c r="G33" i="22"/>
  <c r="G20" i="28" s="1"/>
  <c r="F33" i="22"/>
  <c r="G19" i="28"/>
  <c r="D32" i="22"/>
  <c r="D19" i="28" s="1"/>
  <c r="G36" i="22"/>
  <c r="G23" i="28" s="1"/>
  <c r="G12" i="19" s="1"/>
  <c r="F22" i="22"/>
  <c r="F45"/>
  <c r="F46" s="1"/>
  <c r="E40" s="1"/>
  <c r="E41" s="1"/>
  <c r="D41" s="1"/>
  <c r="G27" i="19" l="1"/>
  <c r="D33" i="14"/>
  <c r="D31"/>
  <c r="D34" s="1"/>
  <c r="E16" i="19" s="1"/>
  <c r="F9" i="28"/>
  <c r="F34" i="22"/>
  <c r="F21" i="28" s="1"/>
  <c r="E34" i="22"/>
  <c r="F20" i="28"/>
  <c r="D33" i="22"/>
  <c r="D20" i="28" s="1"/>
  <c r="F36" i="22"/>
  <c r="F23" i="28" s="1"/>
  <c r="F12" i="19" s="1"/>
  <c r="F27" s="1"/>
  <c r="E22" i="22"/>
  <c r="E45"/>
  <c r="C35" l="1"/>
  <c r="E35"/>
  <c r="E21" i="28"/>
  <c r="E36" i="22"/>
  <c r="E23" i="28" s="1"/>
  <c r="E12" i="19" s="1"/>
  <c r="D34" i="22"/>
  <c r="D21" i="28" s="1"/>
  <c r="E46" i="22"/>
  <c r="D22"/>
  <c r="D9" i="28" s="1"/>
  <c r="E9"/>
  <c r="D12" i="19" l="1"/>
  <c r="E27"/>
  <c r="E22" i="28"/>
  <c r="D35" i="22"/>
  <c r="D44"/>
  <c r="C36"/>
  <c r="C23" i="28" s="1"/>
  <c r="K9" i="18" s="1"/>
  <c r="C22" i="28"/>
  <c r="D29" i="19"/>
  <c r="G16" i="37" l="1"/>
  <c r="G17"/>
  <c r="D22" i="28"/>
  <c r="D36" i="22"/>
  <c r="D23" i="28" s="1"/>
  <c r="K7" i="39"/>
  <c r="K11" s="1"/>
  <c r="K6" i="36"/>
  <c r="K5" s="1"/>
  <c r="K16" s="1"/>
  <c r="Q14" i="18" s="1"/>
  <c r="K21" i="39"/>
  <c r="K22" s="1"/>
  <c r="K23" s="1"/>
  <c r="D42" i="22"/>
  <c r="G58" i="37"/>
  <c r="G60" s="1"/>
  <c r="K14" i="18"/>
  <c r="G12" i="37" l="1"/>
  <c r="G13"/>
  <c r="L9" i="27"/>
  <c r="L11" s="1"/>
  <c r="L15" s="1"/>
  <c r="K24" i="39"/>
  <c r="K25" s="1"/>
  <c r="K37" s="1"/>
  <c r="K35"/>
  <c r="P27" i="1" l="1"/>
  <c r="P14" i="4" l="1"/>
  <c r="P26" s="1"/>
  <c r="D15" i="1"/>
  <c r="O26" i="14" l="1"/>
  <c r="P8" i="19"/>
  <c r="D27" i="1"/>
  <c r="D14" i="4"/>
  <c r="D26" s="1"/>
  <c r="P11" i="19" l="1"/>
  <c r="D8"/>
  <c r="D11" s="1"/>
  <c r="C26" i="14"/>
  <c r="C30" s="1"/>
  <c r="O30"/>
  <c r="O33" l="1"/>
  <c r="O31"/>
  <c r="O34" s="1"/>
  <c r="P16" i="19" s="1"/>
  <c r="C31" i="14"/>
  <c r="C34" s="1"/>
  <c r="C33"/>
  <c r="J16" i="16" s="1"/>
  <c r="L49" i="27" l="1"/>
  <c r="J18" i="16"/>
  <c r="P27" i="19"/>
  <c r="P28" s="1"/>
  <c r="P33" s="1"/>
  <c r="O6" s="1"/>
  <c r="O11" s="1"/>
  <c r="O28" s="1"/>
  <c r="O33" s="1"/>
  <c r="N6" s="1"/>
  <c r="N11" s="1"/>
  <c r="N28" s="1"/>
  <c r="N33" s="1"/>
  <c r="M6" s="1"/>
  <c r="M11" s="1"/>
  <c r="M28" s="1"/>
  <c r="M33" s="1"/>
  <c r="L6" s="1"/>
  <c r="L11" s="1"/>
  <c r="L28" s="1"/>
  <c r="L33" s="1"/>
  <c r="K6" s="1"/>
  <c r="K11" s="1"/>
  <c r="K28" s="1"/>
  <c r="K33" s="1"/>
  <c r="J6" s="1"/>
  <c r="J11" s="1"/>
  <c r="J28" s="1"/>
  <c r="J33" s="1"/>
  <c r="I6" s="1"/>
  <c r="I11" s="1"/>
  <c r="I28" s="1"/>
  <c r="I33" s="1"/>
  <c r="H6" s="1"/>
  <c r="H11" s="1"/>
  <c r="H28" s="1"/>
  <c r="H33" s="1"/>
  <c r="G6" s="1"/>
  <c r="G11" s="1"/>
  <c r="G28" s="1"/>
  <c r="G33" s="1"/>
  <c r="F6" s="1"/>
  <c r="F11" s="1"/>
  <c r="F28" s="1"/>
  <c r="F33" s="1"/>
  <c r="E6" s="1"/>
  <c r="E11" s="1"/>
  <c r="E28" s="1"/>
  <c r="E33" s="1"/>
  <c r="D16"/>
  <c r="D27" s="1"/>
  <c r="D28" s="1"/>
  <c r="D33" s="1"/>
  <c r="Q9" i="18" s="1"/>
  <c r="Q18" s="1"/>
  <c r="Q37" l="1"/>
  <c r="N18" i="16"/>
  <c r="L34" i="27" s="1"/>
  <c r="J23" i="16"/>
  <c r="G7" i="37"/>
  <c r="G23" s="1"/>
  <c r="G62" s="1"/>
  <c r="G64" s="1"/>
  <c r="L26" i="27"/>
  <c r="N23" i="16" l="1"/>
  <c r="L36" i="27" s="1"/>
  <c r="J24" i="16"/>
  <c r="J25" s="1"/>
  <c r="K12" i="18" s="1"/>
  <c r="L17" i="27"/>
  <c r="J26" i="16" l="1"/>
  <c r="N29" l="1"/>
  <c r="J36"/>
  <c r="K13" i="18" s="1"/>
  <c r="K18" s="1"/>
  <c r="L45" i="27"/>
  <c r="J35" i="16"/>
  <c r="K33" i="18" s="1"/>
  <c r="N26" i="16"/>
  <c r="L38" i="27" s="1"/>
  <c r="J34" i="16"/>
  <c r="I38" s="1"/>
  <c r="I40" s="1"/>
  <c r="K32" i="18" s="1"/>
  <c r="K35" s="1"/>
  <c r="N27" i="16"/>
  <c r="L40" i="27" s="1"/>
  <c r="N28" i="16" l="1"/>
  <c r="L42" i="27" s="1"/>
  <c r="K37" i="18"/>
  <c r="K40" s="1"/>
  <c r="L20" i="27"/>
  <c r="L23" s="1"/>
  <c r="L6"/>
  <c r="L4"/>
</calcChain>
</file>

<file path=xl/comments1.xml><?xml version="1.0" encoding="utf-8"?>
<comments xmlns="http://schemas.openxmlformats.org/spreadsheetml/2006/main">
  <authors>
    <author>b.soltani</author>
  </authors>
  <commentList>
    <comment ref="Q3" authorId="0">
      <text>
        <r>
          <rPr>
            <b/>
            <sz val="8"/>
            <color indexed="81"/>
            <rFont val="Tahoma"/>
            <family val="2"/>
          </rPr>
          <t>b.soltani: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b.soltani</author>
  </authors>
  <commentList>
    <comment ref="Q3" authorId="0">
      <text>
        <r>
          <rPr>
            <b/>
            <sz val="8"/>
            <color indexed="81"/>
            <rFont val="Tahoma"/>
            <family val="2"/>
          </rPr>
          <t>b.soltani: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b.soltani</author>
  </authors>
  <commentList>
    <comment ref="Q3" authorId="0">
      <text>
        <r>
          <rPr>
            <b/>
            <sz val="8"/>
            <color indexed="81"/>
            <rFont val="Tahoma"/>
            <family val="2"/>
          </rPr>
          <t>b.soltani: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<sst xmlns="http://schemas.openxmlformats.org/spreadsheetml/2006/main" count="1955" uniqueCount="826">
  <si>
    <t xml:space="preserve">فروردین </t>
  </si>
  <si>
    <t>اردیبهشت</t>
  </si>
  <si>
    <t>خرداد</t>
  </si>
  <si>
    <t xml:space="preserve">تیر </t>
  </si>
  <si>
    <t>مرداد</t>
  </si>
  <si>
    <t>شهریور</t>
  </si>
  <si>
    <t>مهر</t>
  </si>
  <si>
    <t>آبان</t>
  </si>
  <si>
    <t>اذر</t>
  </si>
  <si>
    <t>دی</t>
  </si>
  <si>
    <t>بهمن</t>
  </si>
  <si>
    <t xml:space="preserve">اسفند </t>
  </si>
  <si>
    <t>جمع</t>
  </si>
  <si>
    <t>تعداد</t>
  </si>
  <si>
    <t>فی</t>
  </si>
  <si>
    <t>مبلغ</t>
  </si>
  <si>
    <t>وصول وجه فروش -فروردین</t>
  </si>
  <si>
    <t>وصول وجه فروش اردیبهشت</t>
  </si>
  <si>
    <t>وصول وجه فروش -خرداد</t>
  </si>
  <si>
    <t>وصول وجه فروش -تیر</t>
  </si>
  <si>
    <t>وصول وجه فروش مرداد</t>
  </si>
  <si>
    <t>وصول وجه فروش -شهریور</t>
  </si>
  <si>
    <t>وصول وجه فروش -مهر</t>
  </si>
  <si>
    <t>وصول وجه فروش -ابان</t>
  </si>
  <si>
    <t>وصول وجه فروش -اذر</t>
  </si>
  <si>
    <t>وصول وجه فروش دی</t>
  </si>
  <si>
    <t>وصول وجه فروش بهمن</t>
  </si>
  <si>
    <t>وصول وجه فروش -اسفند</t>
  </si>
  <si>
    <t>جمع وجوه حاصل از فروش</t>
  </si>
  <si>
    <t>موجودی پایان دوره</t>
  </si>
  <si>
    <t xml:space="preserve">فی </t>
  </si>
  <si>
    <t>نام محصول</t>
  </si>
  <si>
    <t>اول دوره</t>
  </si>
  <si>
    <t>اماده فروش</t>
  </si>
  <si>
    <t>قیمت تمام شده کالای  فروش رفته</t>
  </si>
  <si>
    <t>سود و زیان</t>
  </si>
  <si>
    <t>ترازنامه سال قبل</t>
  </si>
  <si>
    <t xml:space="preserve">ترازنامه - پایان سال </t>
  </si>
  <si>
    <t xml:space="preserve">گردش محصول ساخته شده </t>
  </si>
  <si>
    <t>فروردین</t>
  </si>
  <si>
    <t>ابان</t>
  </si>
  <si>
    <t>اسفند</t>
  </si>
  <si>
    <t>جمع کل</t>
  </si>
  <si>
    <t>اضافه کار</t>
  </si>
  <si>
    <t>مسکن</t>
  </si>
  <si>
    <t xml:space="preserve">خوار بار </t>
  </si>
  <si>
    <t xml:space="preserve">اولاد </t>
  </si>
  <si>
    <t>حق بیمه سهم کارفرما</t>
  </si>
  <si>
    <t xml:space="preserve">عیدی </t>
  </si>
  <si>
    <t xml:space="preserve">پاداش غیر نقدی </t>
  </si>
  <si>
    <t>مزایای پایان خدمت</t>
  </si>
  <si>
    <t>جمع پرداخت نقدی ( انتقال به جریان وجوه نقد )</t>
  </si>
  <si>
    <t xml:space="preserve">استهلاک دارایی ثابت مشهود </t>
  </si>
  <si>
    <t xml:space="preserve">بیمه دارایی </t>
  </si>
  <si>
    <t>سوخت و انرژی</t>
  </si>
  <si>
    <t xml:space="preserve">قطعات و ملزومات مصرفی </t>
  </si>
  <si>
    <t>سوخت وسایط نقلیه</t>
  </si>
  <si>
    <t xml:space="preserve">مواد کمکی مصرفی </t>
  </si>
  <si>
    <t xml:space="preserve">تعمیر و نگهداشت </t>
  </si>
  <si>
    <t>ایاب ذهاب</t>
  </si>
  <si>
    <t xml:space="preserve">جمع پرداخت نقدی </t>
  </si>
  <si>
    <t>جمع هزینه  پرسنلی خدمات</t>
  </si>
  <si>
    <t xml:space="preserve">جمع سایر هزینه سربار  </t>
  </si>
  <si>
    <t>جمع پرداخت نقدی</t>
  </si>
  <si>
    <t>جمع کل سربار - انتقال به ق.ت.ک.ف</t>
  </si>
  <si>
    <t>جمع پرداخت نقدی - انتقال به جریان وجوه نقد</t>
  </si>
  <si>
    <t xml:space="preserve"> ملزومات مصرفی </t>
  </si>
  <si>
    <t xml:space="preserve">چاپ و اگهی </t>
  </si>
  <si>
    <t xml:space="preserve">اجاره </t>
  </si>
  <si>
    <t xml:space="preserve">جمع سایر هزینه اداری   </t>
  </si>
  <si>
    <t xml:space="preserve">جمع کل هزینه اداری  - انتقال به سود و زیان </t>
  </si>
  <si>
    <t>ملزمات مصرفی</t>
  </si>
  <si>
    <t xml:space="preserve">حق العمل کاری و کمیسیون فروش </t>
  </si>
  <si>
    <t xml:space="preserve">نمونه های اعطایی </t>
  </si>
  <si>
    <t xml:space="preserve">چاپ و اگهی و هزینه های نمایشگاهی </t>
  </si>
  <si>
    <t xml:space="preserve"> حمل و نقل </t>
  </si>
  <si>
    <t xml:space="preserve">جمع سایر هزینه های توزیع و فروش   </t>
  </si>
  <si>
    <t xml:space="preserve">جمع کل هزینه های توزیع و فروش   - انتقال به سود و زیان </t>
  </si>
  <si>
    <t>زمین</t>
  </si>
  <si>
    <t xml:space="preserve">ساختمان ها </t>
  </si>
  <si>
    <t>تاسیسات</t>
  </si>
  <si>
    <t>ماشین الات و تجهیزات تولیدی</t>
  </si>
  <si>
    <t xml:space="preserve">وسایط نقلیه </t>
  </si>
  <si>
    <t xml:space="preserve">جمع دارایی های ثابت </t>
  </si>
  <si>
    <t>دارایی های در جریان تکمیل :</t>
  </si>
  <si>
    <t xml:space="preserve">موجودی های سرمایه ایی </t>
  </si>
  <si>
    <t>اثاثیه و منصوبات</t>
  </si>
  <si>
    <t>ابزار آلات</t>
  </si>
  <si>
    <t>شرح اقلام</t>
  </si>
  <si>
    <t>بهای تمام شده دارایی های ثابت مشهود</t>
  </si>
  <si>
    <t xml:space="preserve">استهلاک انباشته </t>
  </si>
  <si>
    <t>روش استهلاک</t>
  </si>
  <si>
    <t>نرخ</t>
  </si>
  <si>
    <t xml:space="preserve">مرکز هزینه - اداری </t>
  </si>
  <si>
    <t xml:space="preserve">مرکز هزینه خدماتی </t>
  </si>
  <si>
    <t xml:space="preserve">مرکز فروش </t>
  </si>
  <si>
    <t>INCOME STATEMENT</t>
  </si>
  <si>
    <t>SALES &amp; REVENUE</t>
  </si>
  <si>
    <t>S</t>
  </si>
  <si>
    <t>LESS :</t>
  </si>
  <si>
    <t xml:space="preserve">کسر میشود : </t>
  </si>
  <si>
    <t>SALES RETURN(S)</t>
  </si>
  <si>
    <t>(SR)</t>
  </si>
  <si>
    <t xml:space="preserve">برگشت از فروش </t>
  </si>
  <si>
    <t>DISCOUNTS</t>
  </si>
  <si>
    <t>(D)</t>
  </si>
  <si>
    <t xml:space="preserve">تخفیفات </t>
  </si>
  <si>
    <t>NET SALES &amp; REVENUE</t>
  </si>
  <si>
    <t>NS</t>
  </si>
  <si>
    <t>LESS:</t>
  </si>
  <si>
    <t>COST OF GOODS SOLD</t>
  </si>
  <si>
    <t>(CGS)</t>
  </si>
  <si>
    <t>GROSS PROFIT/ GROSS MARGIN</t>
  </si>
  <si>
    <t>GP</t>
  </si>
  <si>
    <t>سود ناخالص</t>
  </si>
  <si>
    <t>(AE)</t>
  </si>
  <si>
    <t xml:space="preserve">هزینه های اداری </t>
  </si>
  <si>
    <t>SALES EXPENCE</t>
  </si>
  <si>
    <t>(SE)</t>
  </si>
  <si>
    <t xml:space="preserve">هزینه های فروش </t>
  </si>
  <si>
    <t>OPERATIONAL PROFIT( EBIT)</t>
  </si>
  <si>
    <t>OP</t>
  </si>
  <si>
    <t>سود عملیاتی :</t>
  </si>
  <si>
    <t>LESS</t>
  </si>
  <si>
    <t xml:space="preserve">کسر میشود  </t>
  </si>
  <si>
    <t>(FE)</t>
  </si>
  <si>
    <t xml:space="preserve">هزینه های مالی </t>
  </si>
  <si>
    <t xml:space="preserve">ADD </t>
  </si>
  <si>
    <t>اضافه میشود :</t>
  </si>
  <si>
    <t>ORNOE</t>
  </si>
  <si>
    <t xml:space="preserve">خالص سایر درامد ها و هزینه غیر عملیاتی </t>
  </si>
  <si>
    <t>EARNING BEFORE TAX</t>
  </si>
  <si>
    <t>EBT</t>
  </si>
  <si>
    <t>سود قبل از مالیات</t>
  </si>
  <si>
    <t>TAX</t>
  </si>
  <si>
    <t>T</t>
  </si>
  <si>
    <t>مالیات</t>
  </si>
  <si>
    <t>NET PROFIT</t>
  </si>
  <si>
    <t>NP</t>
  </si>
  <si>
    <t>سود خالص</t>
  </si>
  <si>
    <t xml:space="preserve">بدهی های جاری </t>
  </si>
  <si>
    <t>دارایی های جاری</t>
  </si>
  <si>
    <t>حسابهای پرداختنی</t>
  </si>
  <si>
    <t xml:space="preserve">وجوه نقد </t>
  </si>
  <si>
    <t xml:space="preserve">سایر حسابهای پرداختنی </t>
  </si>
  <si>
    <t xml:space="preserve">سرمایه گذاری کوتاه مدت </t>
  </si>
  <si>
    <t xml:space="preserve">پیش دریافت </t>
  </si>
  <si>
    <t>حسابهای در یافتنی</t>
  </si>
  <si>
    <t>ذخیره مالیات</t>
  </si>
  <si>
    <t xml:space="preserve">سایر حسابهای دریافتنی </t>
  </si>
  <si>
    <t xml:space="preserve">سود سهام پرداختنی </t>
  </si>
  <si>
    <t>تسهیلات مالی</t>
  </si>
  <si>
    <t xml:space="preserve">موجودی کالا </t>
  </si>
  <si>
    <t xml:space="preserve">جمع بدهی های جاری </t>
  </si>
  <si>
    <t xml:space="preserve">جمع دارایی های جاری </t>
  </si>
  <si>
    <t xml:space="preserve">بدهی های غیر جاری </t>
  </si>
  <si>
    <t xml:space="preserve">دارایی های غیر جاری </t>
  </si>
  <si>
    <t xml:space="preserve">حسا بها و اسناد پرداختنی بلند مدت </t>
  </si>
  <si>
    <t xml:space="preserve">دارایی های ثابت مشهود </t>
  </si>
  <si>
    <t xml:space="preserve">تسهلات مالی بلند مدت </t>
  </si>
  <si>
    <t xml:space="preserve">دارایی های نامشهود </t>
  </si>
  <si>
    <t xml:space="preserve">ذخیره مزایای پایان خدمت کارکنان </t>
  </si>
  <si>
    <t xml:space="preserve">سرمایه گذاری بلند مدت </t>
  </si>
  <si>
    <t xml:space="preserve">سایر دارایی ها </t>
  </si>
  <si>
    <t xml:space="preserve">جمع بدهی های غیر جاری </t>
  </si>
  <si>
    <t xml:space="preserve">جمع دارایی های غیر جاری </t>
  </si>
  <si>
    <t xml:space="preserve">حقوق صاحبان سهام </t>
  </si>
  <si>
    <t>سرمایه</t>
  </si>
  <si>
    <t xml:space="preserve">سود و زیان انباشته </t>
  </si>
  <si>
    <t xml:space="preserve">اندوحته قانونی </t>
  </si>
  <si>
    <t>ارزش ویژه</t>
  </si>
  <si>
    <t xml:space="preserve">جمع دارایی ها </t>
  </si>
  <si>
    <t>شرکت ......... ( سهامی عام / خاص )</t>
  </si>
  <si>
    <t>عنوان حسابها</t>
  </si>
  <si>
    <t>وجه نقد - ابتدای دوره</t>
  </si>
  <si>
    <t xml:space="preserve">جمع وجوه در اختیار </t>
  </si>
  <si>
    <t xml:space="preserve">خرید مواد اولیه </t>
  </si>
  <si>
    <t>پرداخت دستمزد مستقیم</t>
  </si>
  <si>
    <t>سرمایه گذاری های ثابت مشهود</t>
  </si>
  <si>
    <t>جمع پرداخت ها</t>
  </si>
  <si>
    <t>اخذ تسهیلات مالی</t>
  </si>
  <si>
    <t>پرداخت اقساط بانکی</t>
  </si>
  <si>
    <t>وجه نقد پایان دوره</t>
  </si>
  <si>
    <t>تیر</t>
  </si>
  <si>
    <t xml:space="preserve">ياداشت </t>
  </si>
  <si>
    <t>.</t>
  </si>
  <si>
    <t>ياداشت 4 -</t>
  </si>
  <si>
    <t xml:space="preserve">وجه نقد نزد بانك ها </t>
  </si>
  <si>
    <t xml:space="preserve">ريال </t>
  </si>
  <si>
    <t xml:space="preserve">جمع </t>
  </si>
  <si>
    <t>ياداشت 5-</t>
  </si>
  <si>
    <t xml:space="preserve">ياداشت 6- </t>
  </si>
  <si>
    <t xml:space="preserve">بدهكاران تجاري </t>
  </si>
  <si>
    <t xml:space="preserve">شركت الف : </t>
  </si>
  <si>
    <t xml:space="preserve">شركت ب: </t>
  </si>
  <si>
    <t>جدول ياداشت 6</t>
  </si>
  <si>
    <t xml:space="preserve">محصول ساخته شده </t>
  </si>
  <si>
    <t xml:space="preserve">موجودي مواد اوليه </t>
  </si>
  <si>
    <t>ياداشت 6/1</t>
  </si>
  <si>
    <t xml:space="preserve">موجودي كالاي ساخته شده </t>
  </si>
  <si>
    <t xml:space="preserve">بهاي واحد </t>
  </si>
  <si>
    <t xml:space="preserve">موجودي مواد اوليه  </t>
  </si>
  <si>
    <t>ياداشت 9-</t>
  </si>
  <si>
    <t>ياداشت 9/1</t>
  </si>
  <si>
    <t>ياداشت 9/2</t>
  </si>
  <si>
    <t>ياداشت 8 -</t>
  </si>
  <si>
    <t>جدول 9/1</t>
  </si>
  <si>
    <t>جدول 9/2</t>
  </si>
  <si>
    <t>جدول 10/1</t>
  </si>
  <si>
    <t xml:space="preserve">جدول دارايي هاي ثابت و استهلاك </t>
  </si>
  <si>
    <t>جمع دارايي در جريان تكميل و سرمايه ايي</t>
  </si>
  <si>
    <t xml:space="preserve">جمع كل </t>
  </si>
  <si>
    <t>جدول 14/1</t>
  </si>
  <si>
    <t xml:space="preserve">شركت ج : </t>
  </si>
  <si>
    <t xml:space="preserve">شركت د: </t>
  </si>
  <si>
    <t xml:space="preserve">شركت ه: </t>
  </si>
  <si>
    <t xml:space="preserve">ياداشت 17- </t>
  </si>
  <si>
    <t xml:space="preserve">p= اصل وام </t>
  </si>
  <si>
    <t xml:space="preserve">r=نرخ بهره </t>
  </si>
  <si>
    <t xml:space="preserve">q= تعداد اقساط طي سال </t>
  </si>
  <si>
    <t xml:space="preserve">n=تعداد كل اقساط </t>
  </si>
  <si>
    <t xml:space="preserve">I = مبلغ اقساط </t>
  </si>
  <si>
    <t xml:space="preserve">TI = اصل و بهره </t>
  </si>
  <si>
    <t xml:space="preserve">اصل اقساط </t>
  </si>
  <si>
    <t xml:space="preserve">سود اقساط </t>
  </si>
  <si>
    <t xml:space="preserve">سود ساليانه </t>
  </si>
  <si>
    <t xml:space="preserve">جدول محاسبات بهره وام </t>
  </si>
  <si>
    <t>اقاي A</t>
  </si>
  <si>
    <t xml:space="preserve">اسامي سهامداران </t>
  </si>
  <si>
    <t>آقاي B</t>
  </si>
  <si>
    <t xml:space="preserve">جمع مراكز </t>
  </si>
  <si>
    <t xml:space="preserve">شرح دارايي ها </t>
  </si>
  <si>
    <t>جمع دارایی در جریان تکمیل و سرمایه ایی</t>
  </si>
  <si>
    <t>حسابهای برداختنی</t>
  </si>
  <si>
    <t xml:space="preserve">تولید  طي سال </t>
  </si>
  <si>
    <t xml:space="preserve">بهای تمام شده  كالاي فروش رفته </t>
  </si>
  <si>
    <t>بودجه</t>
  </si>
  <si>
    <t>جمع بهاي تمام شده توليد</t>
  </si>
  <si>
    <t>سایر هزینه های توزیع و فروش  عنوان هزينه</t>
  </si>
  <si>
    <t xml:space="preserve"> ساير هزينه هاي اداري عنوان هزینه </t>
  </si>
  <si>
    <t>عنوان هزینه  ساير هزينه هاي سربار</t>
  </si>
  <si>
    <t xml:space="preserve">عنوان هزینه - هزينه هاي پرسنلي </t>
  </si>
  <si>
    <t xml:space="preserve">دستمزد پرسنل خدماتی </t>
  </si>
  <si>
    <t>پيش پرداخت ها</t>
  </si>
  <si>
    <t>دارايي هاي نامشهود</t>
  </si>
  <si>
    <t>ذخيره مالياتي</t>
  </si>
  <si>
    <t>وام كوتاه مدت -ريال</t>
  </si>
  <si>
    <t>وام بلند مدت - ريال</t>
  </si>
  <si>
    <t>اندوخته قانوني</t>
  </si>
  <si>
    <t>سود انباشته</t>
  </si>
  <si>
    <t>فروردين</t>
  </si>
  <si>
    <t>ارديبهشت</t>
  </si>
  <si>
    <t xml:space="preserve">تير </t>
  </si>
  <si>
    <t>شهريور</t>
  </si>
  <si>
    <t>دي</t>
  </si>
  <si>
    <t>استهلاك فروش رفته</t>
  </si>
  <si>
    <t>شرح</t>
  </si>
  <si>
    <t>مقدار موجودي اول دوره</t>
  </si>
  <si>
    <t>توليد</t>
  </si>
  <si>
    <t>آماده براي فروش</t>
  </si>
  <si>
    <t>فروش</t>
  </si>
  <si>
    <t>برنامه ريزي مواد اوليه :</t>
  </si>
  <si>
    <t xml:space="preserve">مبلغ كل  خريد </t>
  </si>
  <si>
    <t xml:space="preserve">نحوه پرداخت مبلغ كل خريد </t>
  </si>
  <si>
    <t xml:space="preserve">جمع خريد نقدي : انتفال به گردش جريان وجه نقد </t>
  </si>
  <si>
    <t>گردش انبار مواد اوليه :</t>
  </si>
  <si>
    <t>تير</t>
  </si>
  <si>
    <t>ماه1</t>
  </si>
  <si>
    <t>ماه2</t>
  </si>
  <si>
    <t>ماه3</t>
  </si>
  <si>
    <t>ماه4</t>
  </si>
  <si>
    <t>ماه5</t>
  </si>
  <si>
    <t>ماه6</t>
  </si>
  <si>
    <t>ماه7</t>
  </si>
  <si>
    <t>ماه8</t>
  </si>
  <si>
    <t>ماه9</t>
  </si>
  <si>
    <t>ماه10</t>
  </si>
  <si>
    <t>ماه11</t>
  </si>
  <si>
    <t>ماه12</t>
  </si>
  <si>
    <t>اصل اقساط وام سال قبل</t>
  </si>
  <si>
    <t xml:space="preserve">سود اقساط وام سال قبل </t>
  </si>
  <si>
    <t xml:space="preserve">پرداخت سود تسهیلات دریافتی جديد </t>
  </si>
  <si>
    <t>سرمایه گذاری های نا مشهود</t>
  </si>
  <si>
    <t>اخد علی الحساب افزایش سرمایه / يا قرض الحسنه</t>
  </si>
  <si>
    <t>FINANCIAL EXPENSES</t>
  </si>
  <si>
    <t>OTHER NET REVENUES &amp; NONE OPERACIANAL EXPENSES</t>
  </si>
  <si>
    <t>ADMINISTRATIVE EXPENSE</t>
  </si>
  <si>
    <t>ابزارآلات</t>
  </si>
  <si>
    <t>افزايش</t>
  </si>
  <si>
    <t>كاهش</t>
  </si>
  <si>
    <t xml:space="preserve">شرح مواد اوليه </t>
  </si>
  <si>
    <t>مشخصات فني</t>
  </si>
  <si>
    <t>رديف</t>
  </si>
  <si>
    <t>ريال</t>
  </si>
  <si>
    <t xml:space="preserve">ارزش دفتري دارايي هاي ثابت مشهود </t>
  </si>
  <si>
    <t xml:space="preserve">حسابهاي پرداختني </t>
  </si>
  <si>
    <t xml:space="preserve">دارايي هاي ثابت مشهود </t>
  </si>
  <si>
    <t>استهلاك انباشته</t>
  </si>
  <si>
    <t>ارزش دفتري</t>
  </si>
  <si>
    <t xml:space="preserve"> مرداد</t>
  </si>
  <si>
    <t xml:space="preserve">جريان وجه نقد از فروش </t>
  </si>
  <si>
    <t>سال بعد از بودجه</t>
  </si>
  <si>
    <t xml:space="preserve">حسابهاي دريافتني </t>
  </si>
  <si>
    <t xml:space="preserve">صورت جريان وجه نقد </t>
  </si>
  <si>
    <t xml:space="preserve">نمونه محصولات اعطايي </t>
  </si>
  <si>
    <t xml:space="preserve">هزينه هاي فروش </t>
  </si>
  <si>
    <t>دستمزد پرسنل فروش</t>
  </si>
  <si>
    <t>جمع هزینه  پرسنلی فروش</t>
  </si>
  <si>
    <t>دستمزد پرسنل مستقيم توليدي</t>
  </si>
  <si>
    <t xml:space="preserve">جمع هزینه  پرسنلی توليد </t>
  </si>
  <si>
    <t>دستمزد پرسنل اداري</t>
  </si>
  <si>
    <t>جمع هزینه  پرسنلی اداري</t>
  </si>
  <si>
    <t>نقل و انتقال</t>
  </si>
  <si>
    <t>ضريب مصرف در واحد محصول B</t>
  </si>
  <si>
    <t>ضريب مصرف در واحد محصول C</t>
  </si>
  <si>
    <t>جدول BOM  جهت محصولات    ..........</t>
  </si>
  <si>
    <t>بهاي مواد اوليه محصول A</t>
  </si>
  <si>
    <t>بهاي مواد اوليه محصول B</t>
  </si>
  <si>
    <t>بهاي مواد اوليه  محصول C</t>
  </si>
  <si>
    <t xml:space="preserve">سال بعد </t>
  </si>
  <si>
    <t xml:space="preserve">سپرده كوتاه  مدت  به شماره 1-100-234567 </t>
  </si>
  <si>
    <t>مبلغ - ريال</t>
  </si>
  <si>
    <t>مواد اولیه - ريال</t>
  </si>
  <si>
    <t>دستمزد- ريال</t>
  </si>
  <si>
    <t>سربار-ريال</t>
  </si>
  <si>
    <t>ارزش  دفتری</t>
  </si>
  <si>
    <t xml:space="preserve">درصد ذخيره كالا </t>
  </si>
  <si>
    <t>درصد  ذخيره مواد اوليه</t>
  </si>
  <si>
    <t xml:space="preserve">مبلغ آماده مصرف در واحد صنعتي </t>
  </si>
  <si>
    <t>مصرف مواد اوليه و بسته بندي</t>
  </si>
  <si>
    <t>بهاي تمام شده</t>
  </si>
  <si>
    <t xml:space="preserve">نام محصول </t>
  </si>
  <si>
    <t xml:space="preserve">بهاي فروش </t>
  </si>
  <si>
    <t xml:space="preserve">سود و زيان </t>
  </si>
  <si>
    <t xml:space="preserve">مقايسه فروش واحد و بهاي تمام شده </t>
  </si>
  <si>
    <t xml:space="preserve">درصد مشاركت </t>
  </si>
  <si>
    <t xml:space="preserve">ساير </t>
  </si>
  <si>
    <t xml:space="preserve">حسابهاي پرداختني / اسناد پرداختني </t>
  </si>
  <si>
    <t xml:space="preserve">چك 123456 سررسيد 15 مرداد شهرداري </t>
  </si>
  <si>
    <t xml:space="preserve">جمع بدهی و حقوق صاحبان سهام  </t>
  </si>
  <si>
    <t>محصول کت و شلوار</t>
  </si>
  <si>
    <t>محصول شلوار</t>
  </si>
  <si>
    <t>اسامي بدهكاران تجاري / حسابهای دریافتنی</t>
  </si>
  <si>
    <t>استری</t>
  </si>
  <si>
    <t xml:space="preserve">دگمه </t>
  </si>
  <si>
    <t>زیب</t>
  </si>
  <si>
    <t>گردش محصول کت و شلوار</t>
  </si>
  <si>
    <t>ماده الف : پارچه کت و شلواری</t>
  </si>
  <si>
    <t>ماده ب :استری - کت و شلوار</t>
  </si>
  <si>
    <t>زمان تولید - کت شلوار</t>
  </si>
  <si>
    <t>زمان تولید -  شلوار</t>
  </si>
  <si>
    <t>دقیقه</t>
  </si>
  <si>
    <t>ضريب تغيیرات قيمت</t>
  </si>
  <si>
    <t xml:space="preserve">ضريب تغيیرات مقدار فروش </t>
  </si>
  <si>
    <t xml:space="preserve">سایر هزینه ها و درامد های عملیاتی </t>
  </si>
  <si>
    <t>+</t>
  </si>
  <si>
    <t>_</t>
  </si>
  <si>
    <t xml:space="preserve">نسبت های سود اوری </t>
  </si>
  <si>
    <t xml:space="preserve">سود ناخلص / فروش </t>
  </si>
  <si>
    <t xml:space="preserve">سود عملیاتی به فروش </t>
  </si>
  <si>
    <t xml:space="preserve">سود قبل از مالیات به فروش </t>
  </si>
  <si>
    <t xml:space="preserve">سود خالص به فروش </t>
  </si>
  <si>
    <t>PROFITABILITY RATIO</t>
  </si>
  <si>
    <t xml:space="preserve">بهای تمام شده به فروش </t>
  </si>
  <si>
    <t>گزارش سود و زیان انباشته</t>
  </si>
  <si>
    <t xml:space="preserve">تعدیلات سنواتی </t>
  </si>
  <si>
    <t>سود ( زیان ) انباشته ابتدای سال</t>
  </si>
  <si>
    <t xml:space="preserve">سود( زیان ) انباشته تعدیل شده </t>
  </si>
  <si>
    <t>سود قابل تخصیص:</t>
  </si>
  <si>
    <t>اندوخته قانونی</t>
  </si>
  <si>
    <t>پاداش هیت مدیره</t>
  </si>
  <si>
    <t>سود انباشته پایان سال</t>
  </si>
  <si>
    <t xml:space="preserve"> ROAسود خالص به میانگین دارایی ها </t>
  </si>
  <si>
    <t>سود خالص به حقوق صاحبان سهام ROE</t>
  </si>
  <si>
    <t>EPS سود هر سهم</t>
  </si>
  <si>
    <t>پرداخت سربار - نقدی</t>
  </si>
  <si>
    <t>پرداخت هزینه های اداری- نقدی</t>
  </si>
  <si>
    <t>پرداخت هزینه های فروش - نقدی</t>
  </si>
  <si>
    <t>مالیات عملکرد شرکت</t>
  </si>
  <si>
    <t>شرکت  الف</t>
  </si>
  <si>
    <t xml:space="preserve">شرکت ب </t>
  </si>
  <si>
    <t xml:space="preserve">مانده حساب اندوخته قانوني مبلغ  281،750،000  ريال مي باشد و طبق ماده 140 قانون تجارت هيات مديره هر سال يك بيستم از سود خالص بعنوان اندوخته كنار مي گذارد و تا وقتي كه اندوخته به يك دهم سرمايه بالغ گردد </t>
  </si>
  <si>
    <t>سود سهام - 10%</t>
  </si>
  <si>
    <t xml:space="preserve">پارچه کت و شلوار </t>
  </si>
  <si>
    <t>ضريب مصرف در واحد محصول A</t>
  </si>
  <si>
    <t>فروش خالص</t>
  </si>
  <si>
    <t xml:space="preserve">مبلغ فروش ناخلص </t>
  </si>
  <si>
    <t xml:space="preserve"> تخفیفات</t>
  </si>
  <si>
    <t>فروش محصولات</t>
  </si>
  <si>
    <t xml:space="preserve">مقدار - فروش </t>
  </si>
  <si>
    <t xml:space="preserve">درصد </t>
  </si>
  <si>
    <t>A</t>
  </si>
  <si>
    <t>B</t>
  </si>
  <si>
    <t>C</t>
  </si>
  <si>
    <t>تولید</t>
  </si>
  <si>
    <t>مصرف</t>
  </si>
  <si>
    <t>موجودی اول دوره</t>
  </si>
  <si>
    <t>ماه</t>
  </si>
  <si>
    <t>مبلغ خرید</t>
  </si>
  <si>
    <t>مقدار خرید</t>
  </si>
  <si>
    <t>ضریب مصرف</t>
  </si>
  <si>
    <t>پارچه شلوار</t>
  </si>
  <si>
    <t>پارچه کت و شلوار</t>
  </si>
  <si>
    <t>یا</t>
  </si>
  <si>
    <t>شرکت ج</t>
  </si>
  <si>
    <t>شرکت د</t>
  </si>
  <si>
    <t>شرکت ه</t>
  </si>
  <si>
    <t>شرکت الف</t>
  </si>
  <si>
    <t>سود مشمول مالیات</t>
  </si>
  <si>
    <t xml:space="preserve">جمع سود قابل تخصیص </t>
  </si>
  <si>
    <t>سود پرداختني سهامداران - 10%</t>
  </si>
  <si>
    <t xml:space="preserve">سود پرداختني سهامداران  - تصمیمات احتمالی مجمع عادی </t>
  </si>
  <si>
    <t>نقسیم سود از محل سود انباشته</t>
  </si>
  <si>
    <t>سوخت و انرژی ( برق و گاز )</t>
  </si>
  <si>
    <t>تعمیر و نگهداشت ( اتوماسیون اداری ..... )</t>
  </si>
  <si>
    <t>خانم c</t>
  </si>
  <si>
    <t xml:space="preserve">پارچه استری - کت و شلوار </t>
  </si>
  <si>
    <t xml:space="preserve">پارچه استری - شلوار </t>
  </si>
  <si>
    <t xml:space="preserve">نسبت نقدینگی </t>
  </si>
  <si>
    <t xml:space="preserve">نسبت جاری </t>
  </si>
  <si>
    <t xml:space="preserve">نسبت انی </t>
  </si>
  <si>
    <t xml:space="preserve">نسبت های فعالیت </t>
  </si>
  <si>
    <t>گردش کالا</t>
  </si>
  <si>
    <t>میانگین سنی کالا</t>
  </si>
  <si>
    <t>دوره وصول طلب</t>
  </si>
  <si>
    <t xml:space="preserve">سیکل عملیاتی </t>
  </si>
  <si>
    <t xml:space="preserve">گردش دارایی ها </t>
  </si>
  <si>
    <t xml:space="preserve">نسبت اهرمی </t>
  </si>
  <si>
    <t xml:space="preserve">نسبت بدهی </t>
  </si>
  <si>
    <t>نسبت مالکانه</t>
  </si>
  <si>
    <t>نسبت پوشش بهره</t>
  </si>
  <si>
    <t xml:space="preserve">نسبت سود اوری </t>
  </si>
  <si>
    <t xml:space="preserve">سود ناخا لص به فروش </t>
  </si>
  <si>
    <t xml:space="preserve">ROA / سود خالص به دارایی ها </t>
  </si>
  <si>
    <t xml:space="preserve">ROE / سود خالص به حقوق صاحبان سهام </t>
  </si>
  <si>
    <t xml:space="preserve">نسبت بازار - </t>
  </si>
  <si>
    <t xml:space="preserve">EPS / سود هر سهم </t>
  </si>
  <si>
    <t xml:space="preserve">سایر نسبت ها </t>
  </si>
  <si>
    <t xml:space="preserve">هزینه اتوزیع و فروش به فروش </t>
  </si>
  <si>
    <t xml:space="preserve">نسبت های مالی </t>
  </si>
  <si>
    <t xml:space="preserve">ارزش موجودیها اول دوره مالی </t>
  </si>
  <si>
    <t xml:space="preserve">مبلغ خريد طی سال بودجه </t>
  </si>
  <si>
    <t>مبلغ کالای آماده مصرف</t>
  </si>
  <si>
    <t xml:space="preserve">مبلغ کالای مصرف شده </t>
  </si>
  <si>
    <t xml:space="preserve">مبلغ کالا - پایان دوره مالی </t>
  </si>
  <si>
    <t xml:space="preserve">نحوه پرداخت مبلغ كل خريد - سال بودجه </t>
  </si>
  <si>
    <t xml:space="preserve">جدول نقدینگی - جریانات پرداخت خرید طی سال بودجه </t>
  </si>
  <si>
    <t xml:space="preserve">دگمه کت و شلوار </t>
  </si>
  <si>
    <t xml:space="preserve">دگمه - شلوار </t>
  </si>
  <si>
    <t>کاور و چوب لباسی کت و شلوار و پالتو</t>
  </si>
  <si>
    <t xml:space="preserve">چوب لباسی  - شلوار </t>
  </si>
  <si>
    <t xml:space="preserve">متوسط بهای فروش </t>
  </si>
  <si>
    <t>درصد  تخفیفات</t>
  </si>
  <si>
    <t>مبلغ تخفیف</t>
  </si>
  <si>
    <t xml:space="preserve">فروش محصول - شلوار </t>
  </si>
  <si>
    <t>محصولات</t>
  </si>
  <si>
    <t>جدول برنامه ریزی خرید مواد اولیه طی سال بودجه - شرکت ............  برای سال ...................................</t>
  </si>
  <si>
    <t xml:space="preserve">درصد نمونه اعطایی </t>
  </si>
  <si>
    <t xml:space="preserve">بیمه دارایی های ثابت بدون زمین و خودرو </t>
  </si>
  <si>
    <t xml:space="preserve">بیمه - موجودیهای جنسی </t>
  </si>
  <si>
    <t>بیمه وسایط نقلیه - لیفتراک ....</t>
  </si>
  <si>
    <t xml:space="preserve">بیمه دارایی ها ی ثابت </t>
  </si>
  <si>
    <t>باز پرداخت ديون شركت طي سال بودجه 1395</t>
  </si>
  <si>
    <t>مبلغ کالا - پایان دوره مالی - نهایی</t>
  </si>
  <si>
    <t>گردش محصول  شلوار</t>
  </si>
  <si>
    <t xml:space="preserve">تاریخ اخذ وام </t>
  </si>
  <si>
    <t>تعداد اقساط سالانه</t>
  </si>
  <si>
    <t>تعداد کل اقساط</t>
  </si>
  <si>
    <t>سال</t>
  </si>
  <si>
    <t>نرخ سود -درصد</t>
  </si>
  <si>
    <t xml:space="preserve">نوع وام </t>
  </si>
  <si>
    <t>وثایق</t>
  </si>
  <si>
    <t>هزینه تامین وثیقه</t>
  </si>
  <si>
    <t>اصل وام - ریال</t>
  </si>
  <si>
    <t>سرمایه درگردش</t>
  </si>
  <si>
    <t>سفته</t>
  </si>
  <si>
    <t>اصل قسط</t>
  </si>
  <si>
    <t xml:space="preserve">سود </t>
  </si>
  <si>
    <t xml:space="preserve">مانده وام </t>
  </si>
  <si>
    <t>;</t>
  </si>
  <si>
    <t>p</t>
  </si>
  <si>
    <t xml:space="preserve">سرمايه شركت مبلغ 31579000000 ريال منقسم به 31579000 سهم 1000 ريالي عادي با نام تمام پرداخت مي باشد و اسامي سهامداران بشرح زير است </t>
  </si>
  <si>
    <t xml:space="preserve">سرمایه ثبتی </t>
  </si>
  <si>
    <t xml:space="preserve">تولید </t>
  </si>
  <si>
    <t xml:space="preserve">اردیبهشت </t>
  </si>
  <si>
    <t xml:space="preserve">تعداد خانم ها </t>
  </si>
  <si>
    <t xml:space="preserve">تعداد اقایان </t>
  </si>
  <si>
    <t>پرسنل</t>
  </si>
  <si>
    <t xml:space="preserve">سال بودجه </t>
  </si>
  <si>
    <t>اداری</t>
  </si>
  <si>
    <t xml:space="preserve">بازاریابی و فروش </t>
  </si>
  <si>
    <t>پروژه</t>
  </si>
  <si>
    <t>جمع پرسنل</t>
  </si>
  <si>
    <t>خدمات</t>
  </si>
  <si>
    <t xml:space="preserve">مراکز هزینه : پرسنل </t>
  </si>
  <si>
    <t xml:space="preserve">تولید - متوسط پایه دستمزد </t>
  </si>
  <si>
    <t xml:space="preserve">ضریب تعدیل </t>
  </si>
  <si>
    <t xml:space="preserve">پایه دستمزد </t>
  </si>
  <si>
    <t xml:space="preserve">تعداد پرسنل </t>
  </si>
  <si>
    <t xml:space="preserve">جمع پایه دستمزد </t>
  </si>
  <si>
    <t xml:space="preserve">ضریب افزایش - سال بودجه </t>
  </si>
  <si>
    <t xml:space="preserve">ریال </t>
  </si>
  <si>
    <t xml:space="preserve">حداقل دستمزد سال بودجه </t>
  </si>
  <si>
    <t xml:space="preserve">حداکثر عیدی - دو ماه حقوق حداکثر 90 روز دستمزد پایه </t>
  </si>
  <si>
    <t xml:space="preserve">خدمات - متوسط پایه دستمزد </t>
  </si>
  <si>
    <t xml:space="preserve">اداری - متوسط پایه دستمزد </t>
  </si>
  <si>
    <t xml:space="preserve">فروش - متوسط پایه دستمزد </t>
  </si>
  <si>
    <t xml:space="preserve">پروؤه- متوسط پایه دستمزد </t>
  </si>
  <si>
    <t>متوسط دستمزد ماهبانه  سال قبل از بودجه</t>
  </si>
  <si>
    <t xml:space="preserve">پروژه - متوسط پایه دستمزد </t>
  </si>
  <si>
    <t>متوسط دستمزدماهیانه سال بودجه</t>
  </si>
  <si>
    <t>روز کارکرد</t>
  </si>
  <si>
    <t>سال بودجه - تعداد پرسنل به تفکیک مراکز هزینه</t>
  </si>
  <si>
    <t xml:space="preserve">متوسط پرسنل </t>
  </si>
  <si>
    <t>متوسط حقوق پایه</t>
  </si>
  <si>
    <t>ماگزیمم عیدی</t>
  </si>
  <si>
    <t xml:space="preserve">مرکز تولید </t>
  </si>
  <si>
    <t xml:space="preserve">متوسط ساعت اضافه کار </t>
  </si>
  <si>
    <t>حقوق پایه با مینای تعدیل</t>
  </si>
  <si>
    <t xml:space="preserve">مبلغ اضافه کار- روش 1 </t>
  </si>
  <si>
    <t>مبلغ اضافه کار- روش 2</t>
  </si>
  <si>
    <t>سال بودجه محاسبه اضافه کار :</t>
  </si>
  <si>
    <t>روش 1 - ساعت کارکرد ماهیانه</t>
  </si>
  <si>
    <t xml:space="preserve">روش 2 - ساعت کارکرد ماهیانه </t>
  </si>
  <si>
    <t xml:space="preserve">اتخاذ رویه </t>
  </si>
  <si>
    <t>مرکز خدمات</t>
  </si>
  <si>
    <t>مرکز اداری</t>
  </si>
  <si>
    <t>مرکز پروژه</t>
  </si>
  <si>
    <t xml:space="preserve">سال بودجه سایر مزایای پرسنلی </t>
  </si>
  <si>
    <t xml:space="preserve">ردیف </t>
  </si>
  <si>
    <t xml:space="preserve">شرح </t>
  </si>
  <si>
    <t xml:space="preserve">مبلغ - ریال </t>
  </si>
  <si>
    <t xml:space="preserve">فوق العاده مسکن </t>
  </si>
  <si>
    <t>اولاد - 1 فرزند</t>
  </si>
  <si>
    <t>اولاد - دو فرزند</t>
  </si>
  <si>
    <t>خواربار</t>
  </si>
  <si>
    <t>پایه سنوات - ماهیانه</t>
  </si>
  <si>
    <t xml:space="preserve">عیدی حداقل </t>
  </si>
  <si>
    <t>حداقل دستمزد ماهیانه</t>
  </si>
  <si>
    <t>حداکثر سقف بیمه - ماهیانه</t>
  </si>
  <si>
    <t>تعداد اولاد مشمول مزایا</t>
  </si>
  <si>
    <t>جمع اولاد</t>
  </si>
  <si>
    <t xml:space="preserve">سایر هزینه های پرسنلی - پیش بینی نشده  : </t>
  </si>
  <si>
    <t>سایر مزایا پیش بینی نشده</t>
  </si>
  <si>
    <t>حداکثرعیدی</t>
  </si>
  <si>
    <t xml:space="preserve">حداکثر سقف بیمه - ماهیانه سهم کارفرما  </t>
  </si>
  <si>
    <t>روش پرداخت سنوات خدمت - نقدی پایان سال کد: 1 و غیر نقدی کد 2</t>
  </si>
  <si>
    <t>ردیف</t>
  </si>
  <si>
    <t>ترازنامه</t>
  </si>
  <si>
    <t>سود و زیان جاری و انباشته</t>
  </si>
  <si>
    <t xml:space="preserve">صورت جریان وجه نقد </t>
  </si>
  <si>
    <t>فروش محصول A</t>
  </si>
  <si>
    <t>فروش محصول B</t>
  </si>
  <si>
    <t>فروش محصول C</t>
  </si>
  <si>
    <t>گردش تولید و مواد A</t>
  </si>
  <si>
    <t>گردش تولید و مواد B</t>
  </si>
  <si>
    <t>گردش تولید و مواد C</t>
  </si>
  <si>
    <t xml:space="preserve">جدول نقدینگی - خرید کل </t>
  </si>
  <si>
    <t>جدول BOM</t>
  </si>
  <si>
    <t xml:space="preserve">گردش قیمت تمام شده - محصولات نهایی </t>
  </si>
  <si>
    <t xml:space="preserve">دستمزد مسقیم </t>
  </si>
  <si>
    <t>سربار تولیدی</t>
  </si>
  <si>
    <t>هزینه اداری و تشکیلاتی</t>
  </si>
  <si>
    <t>هزینه بازاریابی و فروش</t>
  </si>
  <si>
    <t xml:space="preserve">مراکز هزینه - پرسنلی </t>
  </si>
  <si>
    <t>محاسبه پایه حقوقی</t>
  </si>
  <si>
    <t>محاسبه اضافه کار</t>
  </si>
  <si>
    <t>سایر مزایا</t>
  </si>
  <si>
    <t>نیاز مواد اولیه - مقادیر</t>
  </si>
  <si>
    <t>نسبت های مالی</t>
  </si>
  <si>
    <t xml:space="preserve">وام کوتاه مدت </t>
  </si>
  <si>
    <t xml:space="preserve">هزینه های سربار </t>
  </si>
  <si>
    <t>هزینه های بازاریابی و فروش</t>
  </si>
  <si>
    <t>دارایی های ثابت مشهود</t>
  </si>
  <si>
    <t xml:space="preserve">محاسیه اضافه کار </t>
  </si>
  <si>
    <t>پیش بینی دریافت وام کوتاه مدت</t>
  </si>
  <si>
    <t xml:space="preserve">موجودی کالا - مواد اولیه </t>
  </si>
  <si>
    <t xml:space="preserve">پایان سال قیل </t>
  </si>
  <si>
    <t>پایان سال بودجه</t>
  </si>
  <si>
    <t xml:space="preserve">موجودی محصول </t>
  </si>
  <si>
    <t>شرح کالا</t>
  </si>
  <si>
    <t>ترازنامه بودجه</t>
  </si>
  <si>
    <t xml:space="preserve">میانگین ارزش جاری کالا- مواد اولیه </t>
  </si>
  <si>
    <t>نرخ بیمه اتش سوزی ..... در هزار</t>
  </si>
  <si>
    <t xml:space="preserve">نحوه پرداخت - پیش پرداخت </t>
  </si>
  <si>
    <t>درهزار</t>
  </si>
  <si>
    <t>الباقی بیمه - تعداد اقساط</t>
  </si>
  <si>
    <t>تعداد قسط</t>
  </si>
  <si>
    <t>مبلغ هر قسط ( ریال )</t>
  </si>
  <si>
    <t>ریال</t>
  </si>
  <si>
    <t>سایر اطلاعات : بیمه کالا- مواد اولیه</t>
  </si>
  <si>
    <t>سایر اطلاعات : بیمه کالا- ساخته شده</t>
  </si>
  <si>
    <t xml:space="preserve">میانگین ارزش جاری کالا- ساخته شده </t>
  </si>
  <si>
    <t>پیش پرداخت  بیمه کالا</t>
  </si>
  <si>
    <t>تعداد اقساط</t>
  </si>
  <si>
    <t xml:space="preserve">مبلغ اقساط </t>
  </si>
  <si>
    <t>موجودی کالا - پایان دوره و بیمه موجودیهای جنسی</t>
  </si>
  <si>
    <t>خلاصه موجودی کالا - پایان سال بودجه</t>
  </si>
  <si>
    <t xml:space="preserve">ارزش اموال و دارایی ها بدون زمین و وسایط نقلیه </t>
  </si>
  <si>
    <t xml:space="preserve">ارزش اموال و دارایی ها </t>
  </si>
  <si>
    <t xml:space="preserve">میانگین ارزش موجودیها - دفتری </t>
  </si>
  <si>
    <t xml:space="preserve">نرخ تعدیلی - قیمت جایگزینی </t>
  </si>
  <si>
    <t xml:space="preserve">سرمایه مورد بیمه </t>
  </si>
  <si>
    <t xml:space="preserve">نرخ بیمه اتش سوزی صاعقه انفجار زلزله و رانش زمین </t>
  </si>
  <si>
    <t xml:space="preserve">درهزار </t>
  </si>
  <si>
    <t xml:space="preserve">پیش پرداخت بیمه </t>
  </si>
  <si>
    <t>الباقی بدهی بیمه</t>
  </si>
  <si>
    <t>تعداد اقساط مورد توافق</t>
  </si>
  <si>
    <t>تعداد قسط بیمه</t>
  </si>
  <si>
    <t>مبلغ اقساط بیمه</t>
  </si>
  <si>
    <t xml:space="preserve">ارزش وسایط نقلیه: </t>
  </si>
  <si>
    <t>پایان سال قبل- ریال</t>
  </si>
  <si>
    <t>پایان سال بودجه -ریال</t>
  </si>
  <si>
    <t>میانگین ارزش وسایط نقلیه</t>
  </si>
  <si>
    <t>نرخ بیمه شخص ثالث</t>
  </si>
  <si>
    <t>پیش پرداخت بیمه وسایط نقلیه</t>
  </si>
  <si>
    <t>درصد</t>
  </si>
  <si>
    <t>الباقی بیمه شخص ثالث</t>
  </si>
  <si>
    <t>نرخ بیمه بدنه</t>
  </si>
  <si>
    <t>پیش پرداخت بیمه بدنه</t>
  </si>
  <si>
    <t>الباقی بیمه بدنه</t>
  </si>
  <si>
    <t>مبلغ اقساط بیمه بدنه</t>
  </si>
  <si>
    <t>ارزش وسایط نقلیه بیمه شخص ثالث</t>
  </si>
  <si>
    <t>ارزش وسایط نقلیه بیمه بدنه</t>
  </si>
  <si>
    <t xml:space="preserve">یاداشت های سال قبل </t>
  </si>
  <si>
    <t>اطلاعات تفصیلی سال قبل</t>
  </si>
  <si>
    <t>شرح عملیات</t>
  </si>
  <si>
    <t>سود عملیاتی</t>
  </si>
  <si>
    <t>هزینه  استهلاک دارایی های ثابت و نامشهود</t>
  </si>
  <si>
    <t>خالص افزایش در ذخیره مزایای پایان خدمت</t>
  </si>
  <si>
    <t>افزایش حسابهای دریافتنی عملیاتی (مصارف وجوه)</t>
  </si>
  <si>
    <t>کاهش حسابهای دریافتنی عملیاتی (منابع وجوه)</t>
  </si>
  <si>
    <t>افزایش موجودی مواد و کالا (مصارف وجوه)</t>
  </si>
  <si>
    <t>کاهش موجودی مواد و کالا (منابع وجوه)</t>
  </si>
  <si>
    <t>افزایش سفارشات و پیش پرداختها (مصارف وجوه)</t>
  </si>
  <si>
    <t>کاهش سفارشات و پیش پرداختها (منابع وجوه)</t>
  </si>
  <si>
    <t>افزایش حسابهای پرداختنی (منابع وجوه)</t>
  </si>
  <si>
    <t>کاهش حسابهای پرداختنی (مصارف وجوه)</t>
  </si>
  <si>
    <t>افزایش حساب پیش دریافت ها (منابع وجوه)</t>
  </si>
  <si>
    <t>کاهش حساب پیش دریافت ها (مصارف وجوه)</t>
  </si>
  <si>
    <t>سود (زیان) ناشی از تسویه دارایی ها و بدهی های ارزی غیر عملیاتی</t>
  </si>
  <si>
    <t xml:space="preserve">صورت جریا ن و جه نقد </t>
  </si>
  <si>
    <t xml:space="preserve">فعالیت های عملیاتی </t>
  </si>
  <si>
    <t xml:space="preserve">جریان خالص ( ورود ) خروج وجوه نقد ناشی از فعا لیت های عملیاتی </t>
  </si>
  <si>
    <t>بازده سرمایه گذاریها و سود پرداختی بابت تأمین مالی</t>
  </si>
  <si>
    <t>سود دریافتی بابت سپرده های سرمایه گذاری کوتاه مدت:</t>
  </si>
  <si>
    <t>سود دریافتی بابت سپرده های سرمایه گذاری بلند مدت: و اوراق مشارکت</t>
  </si>
  <si>
    <t>سود سهام دریافتی</t>
  </si>
  <si>
    <t xml:space="preserve">سود پرداختی بابت تسهیلات مالی </t>
  </si>
  <si>
    <t xml:space="preserve">سود سهام پرداختی به سهامداران شرکت </t>
  </si>
  <si>
    <t xml:space="preserve">جریان خالص ورود ( خروج ) وجه نقد ناشی از بازده سرمایه گذاریها و سود پرداختی بابت تامین مالی </t>
  </si>
  <si>
    <t xml:space="preserve"> مالیات بر درآمد:</t>
  </si>
  <si>
    <t>مالیات بر درآمد پردا ختی  (شامل پیش پرداخت مالیات بر درآمد)</t>
  </si>
  <si>
    <t xml:space="preserve"> فعالیتهای سرمایه گذاری:</t>
  </si>
  <si>
    <t>وجوه پرداختی بابت تحصیل سرمایه گذاریهای بلند مدت (مصارف وجوه)</t>
  </si>
  <si>
    <t>وجوه حاصل از فروش دارایی های ثابت مشهود (منابع وجوه)</t>
  </si>
  <si>
    <t>وجوه حاصل از فروش سرمایه گذاریهای کوتاه مدت (منابع وجوه)</t>
  </si>
  <si>
    <t>وجوه نقد- غیر مترقبه- خسارت دریافتی از بیمه (منابع وجوه)</t>
  </si>
  <si>
    <t>جریان خالص خروج وجه نقد ناشی از فعالیتهای سرمایه گذاری</t>
  </si>
  <si>
    <t>وجوه حاصل از افزایش سرمایه (منابع وجوه)</t>
  </si>
  <si>
    <t>دریافت تسهیلات مالی (منابع وجوه)</t>
  </si>
  <si>
    <t>بازپرداخت اصل تسهیلات مالی دریافتی (مصارف)</t>
  </si>
  <si>
    <t xml:space="preserve">جریان خالص ورود وجه نقد ناشی از فعالیتهای تأمین مالی </t>
  </si>
  <si>
    <t xml:space="preserve">خالص افزایش ( کاهش ) در وجه نقد </t>
  </si>
  <si>
    <t>مانده وجه نقد در ابتدای سال</t>
  </si>
  <si>
    <t xml:space="preserve">مانده وجه نقد در پایا ن سال </t>
  </si>
  <si>
    <t>نتایج حاصل از فعالیت بالا موجب خالص افزایش (کاهش) در وجه نقد می گردد و چنانچه مانده وجه نقد در آغاز سال بدان افزوده گردد به مانده وجه نقد در پایان سال خواهیم رسید.</t>
  </si>
  <si>
    <t>امار تولید</t>
  </si>
  <si>
    <t xml:space="preserve">زمان کل </t>
  </si>
  <si>
    <t xml:space="preserve">افزایش سایر حسابهای پرداختنی </t>
  </si>
  <si>
    <t>کاهش سایر حسابهای پرداختنی</t>
  </si>
  <si>
    <t>جمع تعداد سهام</t>
  </si>
  <si>
    <t>جمع هزینه  پرسنلی پروژه</t>
  </si>
  <si>
    <t>دستمزد پرسنل پروژه</t>
  </si>
  <si>
    <t xml:space="preserve">زمین </t>
  </si>
  <si>
    <t>ساختمانها</t>
  </si>
  <si>
    <t>ماشین الات</t>
  </si>
  <si>
    <t xml:space="preserve">دارایی در جریان تکمیل </t>
  </si>
  <si>
    <t xml:space="preserve">عنوان سرمایه گذاری - خرید و احداث و نصب و دستمزد </t>
  </si>
  <si>
    <t xml:space="preserve">جمع کل </t>
  </si>
  <si>
    <t xml:space="preserve">پرداخت نقدی کل - صورت جریان وجه نقد </t>
  </si>
  <si>
    <t>دستمزد پروژه + خرید و احداث</t>
  </si>
  <si>
    <t>دستمزد + خرید و احداث پروژه</t>
  </si>
  <si>
    <t>جمع دستمزد پروژه</t>
  </si>
  <si>
    <t>وجوه پرداختی برای خرید دارایی های ثابت مشهود و نامشهود(مصارف وجوه)</t>
  </si>
  <si>
    <t>شرکت</t>
  </si>
  <si>
    <t>صورت تطبیق سود عملیاتی ورود ( خروج )وجه نقد ناشی از عملیات )</t>
  </si>
  <si>
    <t xml:space="preserve">جریان وجه نقد استاندارد </t>
  </si>
  <si>
    <t xml:space="preserve">سایرهزینه و  درامد های عملیاتی </t>
  </si>
  <si>
    <t xml:space="preserve"> سایر هزینه و درآمد های غیر عملیاتی </t>
  </si>
  <si>
    <t xml:space="preserve">کسری یا اضافی  وجوه </t>
  </si>
  <si>
    <t>تعداد فروش ماهیانه</t>
  </si>
  <si>
    <t>فهرست مطالب : بودجه سال ......13</t>
  </si>
  <si>
    <t xml:space="preserve"> سرمایه گذاریها - تسهیم هزینه دستمزد پرسنل پروژه</t>
  </si>
  <si>
    <t xml:space="preserve">گردش جریان وجه نقد </t>
  </si>
  <si>
    <t xml:space="preserve">خرید / احداث / مرمت </t>
  </si>
  <si>
    <t xml:space="preserve">عنوان سرمایه گذاری </t>
  </si>
  <si>
    <t>اثاثیه</t>
  </si>
  <si>
    <t>وسایط نقلیه</t>
  </si>
  <si>
    <t>بهای واحد - ریال</t>
  </si>
  <si>
    <t>درصد مقادیر فروش</t>
  </si>
  <si>
    <t>فروش کت و شلوار</t>
  </si>
  <si>
    <t>1396/12/29</t>
  </si>
  <si>
    <t>خريد 96</t>
  </si>
  <si>
    <t>فروش سال 96</t>
  </si>
  <si>
    <t>سایر موجودیها</t>
  </si>
  <si>
    <t xml:space="preserve"> فعالیتهای تأمین مالی </t>
  </si>
  <si>
    <t xml:space="preserve">توجه : اطلاعات ذیل بصورت دستی وارد هزینه های سربار و سایر هزینه های اداری و فروش وارد میشود </t>
  </si>
  <si>
    <t xml:space="preserve">بیمه دارایی ها </t>
  </si>
  <si>
    <t xml:space="preserve">بیمه اموال و دارایی ها </t>
  </si>
  <si>
    <t>موجودی کالا مازاد</t>
  </si>
  <si>
    <t>موجودی نهایی</t>
  </si>
  <si>
    <t>موجودي پايان دوره بر اساس مفروضات</t>
  </si>
  <si>
    <t>دارایی درجریان تکمیل</t>
  </si>
  <si>
    <t xml:space="preserve">فروش و درامد عملیاتی </t>
  </si>
  <si>
    <t>خالص فروش و درامد عملیاتی</t>
  </si>
  <si>
    <t>اختلاف تراز نامه 96</t>
  </si>
  <si>
    <t xml:space="preserve">دارایی های در معرض فروش </t>
  </si>
  <si>
    <t>بدهی دارایی های در معرض فروش</t>
  </si>
  <si>
    <t>حسابهای دریافتنی بلندمدت</t>
  </si>
  <si>
    <t>سرمایه گذاری در املاک</t>
  </si>
  <si>
    <t xml:space="preserve">اقتصادنوین است كه سود ان با نرخ 15% در سال در مقاطع ماهیانه ماهه به حساب جاری  شركت واريز مي گردد . </t>
  </si>
  <si>
    <t>مبلغ فروش خالص</t>
  </si>
  <si>
    <t>درصد مبلغ فروش خالص</t>
  </si>
  <si>
    <t>FOR FINANCIAL YEAR TO END 1396</t>
  </si>
  <si>
    <t xml:space="preserve">پیش پرداخت و سفارشات اسنادی </t>
  </si>
  <si>
    <t>جمع فروش سال 97</t>
  </si>
  <si>
    <t>دستمزد غیر مستقیم  و مزایای واحد های خدماتی در سال بودجه  1397</t>
  </si>
  <si>
    <t>حقوق و مزایای پرسنل اداری در سال بودجه           1397</t>
  </si>
  <si>
    <t>دستمزد مستقیم تولیدی در سال بودجه          1397</t>
  </si>
  <si>
    <t>دستمزد پروژه در سال بودجه          1397</t>
  </si>
  <si>
    <t>حقوق و مزایای کادر فروش و بازاریابی در سال بودجه            1397</t>
  </si>
  <si>
    <t>97/1/1</t>
  </si>
  <si>
    <t>97/12/29</t>
  </si>
  <si>
    <t>منتهی به 97/12/29</t>
  </si>
  <si>
    <t>1397/12/29</t>
  </si>
  <si>
    <t xml:space="preserve">ترازنامه در تاریخ 97/12/29 </t>
  </si>
  <si>
    <t>اختلاف تراز نامه 97</t>
  </si>
  <si>
    <t>وصول مطالبات ( حسابهاي  دريافتني 1396 )</t>
  </si>
  <si>
    <t>صورت گردش جریان وجوه نقد - برای سال 1397</t>
  </si>
  <si>
    <t>سال 1397</t>
  </si>
  <si>
    <t xml:space="preserve">مانده وجوه نقد در پايان سال 1396 مبلغ 4،820،750،000 ريال و بشرح زير مي باشد . </t>
  </si>
  <si>
    <t>29/12/1396</t>
  </si>
  <si>
    <t xml:space="preserve">مانده سرمايه گذاري كوتاه مدت ( روزشمار)در پايان سال 1396 مبلغ 2500000000 ريال و مربوط به سپرده كوتاه  مدت  نزد بانك </t>
  </si>
  <si>
    <t xml:space="preserve">مانده حسابهاي دريافتني در پايان سال 96 مبلغ 2،000،000،000 ريال و بشرح زير مي باشد . پيش بيني دوره وصول مطالبات شركت در جدول پيوست اراده شده است . </t>
  </si>
  <si>
    <t xml:space="preserve">مانده حساب پيش پرداخت ها و سفارشات در پايان سال 96 مبلغ 750،000،000 ريال و مربوط به 20% پيش پرداخت خريد مواد اوليه مي باشد كه موعد تحويل ان سه ماهه اول سال 96 مي باشد . </t>
  </si>
  <si>
    <t xml:space="preserve">مانده حساب موجودي كالا در پايان سال 96 مبلغ 4،955،000،000 ريال و بشرح زير مي باشد . </t>
  </si>
  <si>
    <t xml:space="preserve">مانده حساب دارايي هاي نامشهود در پايان سال 96 مبلغ 679،250،000 ريال و بابت حق انشعاب برق كارخانه مي باشد . </t>
  </si>
  <si>
    <t xml:space="preserve">مانده حساب سود پيشنهادي در پايان سال 1396 مبلغ       562،500،000      ريال مي باشد كه در اجراي بند ماده 240 قانون تجارت توسط مجمع عمومي عادي ساليانه تعين شده است و حداكثر تا 8 ماه باید  به سهامداران پرداخت گردد. </t>
  </si>
  <si>
    <t xml:space="preserve">مانده حساب تسهيلات دريافتي ( وام- بانك ملت -قرارداد مشاركت مدني  ) در پايان سال 1396 مبلغ 15،600،000،000 ريال كه شامل  حصه جاري كوتاه مدت 2،600،000،000 ريال و حصه بلند مدت وام دريافتي مبلغ 13،000،000،000 ريال مي باشد . سود وام مذكور 22% در سال مي باشد كه طي 24 قسط مساوي سه ماهه تسويه خواهد شد . عرصه و اعيان كارخانه در ترهين بانك مذكور مي باشد . </t>
  </si>
  <si>
    <t xml:space="preserve">مانده مزاياي پايان خدمت كاركنان در پايان سال 1396 مبلغ 1،776،500،000 ريال مي باشد هر سال معادل يكماه حقوق و دستمزد ثابت بر اساس اخرين پايه حقوقي در حسابها منظور مي گردد . </t>
  </si>
  <si>
    <t>پيش بيني دوره وصول طلب در سال 1397</t>
  </si>
  <si>
    <t>موجودي كالا پايان سال 1396</t>
  </si>
  <si>
    <t>موجودي مواد اوليه پايان سال 1396</t>
  </si>
  <si>
    <t>مانده در 97/01/01</t>
  </si>
  <si>
    <t>مانده در 97/12/29</t>
  </si>
  <si>
    <t>استهلاك 97</t>
  </si>
  <si>
    <t>مانده ارزش دفتري  در 97/1/1</t>
  </si>
  <si>
    <t>مانده ارزش دفتري  در 97/12/29</t>
  </si>
  <si>
    <t xml:space="preserve">اپل </t>
  </si>
  <si>
    <t>سال 97</t>
  </si>
  <si>
    <t>مبلغ مواد اوليه اول سال 97</t>
  </si>
  <si>
    <t>مبلغ خريد طي سال 97</t>
  </si>
  <si>
    <t>ارزش مواد اوليه پايان سال 97</t>
  </si>
  <si>
    <t xml:space="preserve"> سال 1397</t>
  </si>
  <si>
    <t>هزینه های  جذب نشده</t>
  </si>
  <si>
    <t>ظرفیت اسمی</t>
  </si>
  <si>
    <t>ظرفیت بلااستفاده</t>
  </si>
  <si>
    <t>درصد بلااستفاده</t>
  </si>
  <si>
    <t>تولید کل</t>
  </si>
  <si>
    <t xml:space="preserve">مازاد تجدید ارزیابی دارایی ها </t>
  </si>
  <si>
    <t>ياداشت 11 -</t>
  </si>
  <si>
    <t>مانده ارزش دفتري  دارايي هاي ثابت مشهود در پايان سال 96 مبلغ 45،400،000،000 ريال و بشرح جدول 11/1 مي باشد .</t>
  </si>
  <si>
    <t xml:space="preserve">ياداشت 12- </t>
  </si>
  <si>
    <t xml:space="preserve">مانده حسابهاي پرداختني در پايان سال 96 مبلغ 4،649،500،000 ريال و بشرح جدول 17/1 مي باشد </t>
  </si>
  <si>
    <t xml:space="preserve">ياداشت 20- </t>
  </si>
  <si>
    <t xml:space="preserve">مانده حساب ماليات پرداختني در پايان سال 1396 مبلغ 1،875،000،000   ريال و مربوط به ماليات عملكرد سال 1396 مي باشد كه تا پايان تير ماه 1396 مي بايستي پرداخت گردد . </t>
  </si>
  <si>
    <t xml:space="preserve">ياداشت 21- </t>
  </si>
  <si>
    <t>ياداشت 25و22</t>
  </si>
  <si>
    <t xml:space="preserve">ياداشت 26- </t>
  </si>
  <si>
    <t xml:space="preserve">ياداشت 27- </t>
  </si>
  <si>
    <t>ياداشت 28</t>
  </si>
  <si>
    <t xml:space="preserve">مانده سود انباشته در پايان سال 96 مبلغ  4،781،250،000 ريال است </t>
  </si>
  <si>
    <t>ياداشت 29-</t>
  </si>
  <si>
    <t>جدول 11</t>
  </si>
  <si>
    <t>یاداشت 17</t>
  </si>
  <si>
    <t xml:space="preserve">  ترازنامه سال 1396( شركت نمونه سهامي خاص )</t>
  </si>
  <si>
    <t>حداقل دستمزد روزانه</t>
  </si>
  <si>
    <t>محصول  شلوار</t>
  </si>
  <si>
    <t>محصول پیراهن</t>
  </si>
  <si>
    <t>کت و شلوار</t>
  </si>
  <si>
    <t>شلوار</t>
  </si>
  <si>
    <t>پیراهن</t>
  </si>
  <si>
    <t xml:space="preserve">مواد اولیه - کت و شلوار </t>
  </si>
  <si>
    <t>مواد اولیه شلوار</t>
  </si>
  <si>
    <t>مواد اولیه پیراهن</t>
  </si>
  <si>
    <t>موجودی محصول نهایی</t>
  </si>
  <si>
    <t xml:space="preserve">جمع کل موجودی ها - انتقال به ترازنامه </t>
  </si>
  <si>
    <t>ماده ج : پارچه پیراهن</t>
  </si>
  <si>
    <t>پارچه پیراهن</t>
  </si>
  <si>
    <t xml:space="preserve">دگمه پیراهن </t>
  </si>
  <si>
    <t>ترازنامه - حسابهای پرداختنی</t>
  </si>
  <si>
    <t>جمع سال 1397</t>
  </si>
  <si>
    <t xml:space="preserve">پارچه پیراهن </t>
  </si>
  <si>
    <t>دگمه-پیراهن</t>
  </si>
  <si>
    <t xml:space="preserve">خرید کل </t>
  </si>
  <si>
    <t>سود تقسیم شده هر سهم  /DPS</t>
  </si>
  <si>
    <t xml:space="preserve">تولید سرانه هر نفر </t>
  </si>
  <si>
    <t xml:space="preserve">نوبت کاری - صبح و بعداز ظهر </t>
  </si>
  <si>
    <t xml:space="preserve">شبکاری </t>
  </si>
  <si>
    <t xml:space="preserve">نوبت کاری صبح عصر شب </t>
  </si>
  <si>
    <t xml:space="preserve">صبح شب و یا عصر و شب </t>
  </si>
  <si>
    <t xml:space="preserve">نوبت کاری صبح عصر کد 1 نوبت کاری صبح عصر شب کد 2 نوبت کاری صبح شب یا عصر شب کد 3 </t>
  </si>
  <si>
    <t>ضریب بالاسری سنوات خدمت با توجه به سوابق کاری کارکنان</t>
  </si>
  <si>
    <t xml:space="preserve">شبکار کد1 </t>
  </si>
  <si>
    <t>زمان تولید -پیر اهن</t>
  </si>
  <si>
    <t>مستقیم- سال</t>
  </si>
  <si>
    <t>نزولی -درصد</t>
  </si>
  <si>
    <t>مستقیم - سال</t>
  </si>
  <si>
    <t>نزولی - درصد</t>
  </si>
  <si>
    <t>مبانی تسهیم هزینه استهلاک به مراکز هزینه شرکت ........</t>
  </si>
  <si>
    <t xml:space="preserve">پاداش هیت مدیره : </t>
  </si>
  <si>
    <t>فروش محصول پیراهن</t>
  </si>
  <si>
    <t xml:space="preserve">دارایی در جریان تکمیل - سوله تولید </t>
  </si>
  <si>
    <t>گردش محصول پیراهن</t>
  </si>
  <si>
    <t>درامد نقدي فروش سال97</t>
  </si>
</sst>
</file>

<file path=xl/styles.xml><?xml version="1.0" encoding="utf-8"?>
<styleSheet xmlns="http://schemas.openxmlformats.org/spreadsheetml/2006/main">
  <numFmts count="5">
    <numFmt numFmtId="164" formatCode="#,##0.0000"/>
    <numFmt numFmtId="165" formatCode="[$-1020000]B1d\ mmmm\ yyyy;@"/>
    <numFmt numFmtId="166" formatCode="#,##0.0"/>
    <numFmt numFmtId="167" formatCode="_-[$ريال-429]\ * #,##0.00_-;_-[$ريال-429]\ * #,##0.00\-;_-[$ريال-429]\ * &quot;-&quot;??_-;_-@_-"/>
    <numFmt numFmtId="168" formatCode="#,##0_ ;\-#,##0\ "/>
  </numFmts>
  <fonts count="71">
    <font>
      <sz val="11"/>
      <color theme="1"/>
      <name val="Calibri"/>
      <family val="2"/>
      <charset val="178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u/>
      <sz val="8.8000000000000007"/>
      <color theme="10"/>
      <name val="Calibri"/>
      <family val="2"/>
      <charset val="178"/>
    </font>
    <font>
      <sz val="20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22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26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24"/>
      <name val="Arial"/>
      <family val="2"/>
    </font>
    <font>
      <b/>
      <u/>
      <sz val="24"/>
      <name val="Arial"/>
      <family val="2"/>
    </font>
    <font>
      <sz val="26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u/>
      <sz val="18"/>
      <color rgb="FFFF0000"/>
      <name val="Calibri"/>
      <family val="2"/>
      <scheme val="minor"/>
    </font>
    <font>
      <b/>
      <sz val="20"/>
      <name val="Calibri"/>
      <family val="2"/>
      <scheme val="minor"/>
    </font>
    <font>
      <b/>
      <sz val="20"/>
      <name val="Arial"/>
      <family val="2"/>
    </font>
    <font>
      <b/>
      <sz val="20"/>
      <color rgb="FFFF0000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24"/>
      <name val="Calibri"/>
      <family val="2"/>
      <charset val="178"/>
      <scheme val="minor"/>
    </font>
    <font>
      <b/>
      <u/>
      <sz val="24"/>
      <name val="Calibri"/>
      <family val="2"/>
      <charset val="178"/>
    </font>
    <font>
      <b/>
      <u/>
      <sz val="24"/>
      <name val="Calibri"/>
      <family val="2"/>
      <charset val="178"/>
      <scheme val="minor"/>
    </font>
    <font>
      <sz val="11"/>
      <color rgb="FFFF0000"/>
      <name val="Calibri"/>
      <family val="2"/>
      <charset val="178"/>
      <scheme val="minor"/>
    </font>
    <font>
      <b/>
      <u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0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u/>
      <sz val="20"/>
      <color rgb="FFFF0000"/>
      <name val="Calibri"/>
      <family val="2"/>
      <scheme val="minor"/>
    </font>
    <font>
      <u/>
      <sz val="18"/>
      <color theme="10"/>
      <name val="Calibri"/>
      <family val="2"/>
      <charset val="178"/>
    </font>
    <font>
      <u/>
      <sz val="22"/>
      <color theme="10"/>
      <name val="Calibri"/>
      <family val="2"/>
      <charset val="178"/>
    </font>
    <font>
      <u/>
      <sz val="24"/>
      <color theme="10"/>
      <name val="Calibri"/>
      <family val="2"/>
      <charset val="178"/>
    </font>
    <font>
      <u/>
      <sz val="22"/>
      <name val="Calibri"/>
      <family val="2"/>
      <charset val="178"/>
    </font>
    <font>
      <sz val="22"/>
      <color theme="1"/>
      <name val="Calibri"/>
      <family val="2"/>
      <charset val="178"/>
      <scheme val="minor"/>
    </font>
    <font>
      <sz val="16"/>
      <color theme="1"/>
      <name val="Calibri"/>
      <family val="2"/>
      <charset val="178"/>
      <scheme val="minor"/>
    </font>
    <font>
      <b/>
      <sz val="16"/>
      <color theme="1"/>
      <name val="B Nazanin"/>
      <charset val="178"/>
    </font>
    <font>
      <u/>
      <sz val="16"/>
      <color rgb="FFFF0000"/>
      <name val="Calibri"/>
      <family val="2"/>
      <charset val="178"/>
      <scheme val="minor"/>
    </font>
    <font>
      <b/>
      <sz val="16"/>
      <color theme="1"/>
      <name val="Calibri"/>
      <family val="2"/>
      <charset val="178"/>
      <scheme val="minor"/>
    </font>
    <font>
      <sz val="16"/>
      <color theme="1"/>
      <name val="Calibri"/>
      <family val="2"/>
      <scheme val="minor"/>
    </font>
    <font>
      <sz val="16"/>
      <color theme="1"/>
      <name val="B Nazanin"/>
      <charset val="178"/>
    </font>
    <font>
      <b/>
      <u/>
      <sz val="20"/>
      <color rgb="FFFF0000"/>
      <name val="Calibri"/>
      <family val="2"/>
    </font>
    <font>
      <b/>
      <sz val="11"/>
      <name val="Calibri"/>
      <family val="2"/>
      <scheme val="minor"/>
    </font>
    <font>
      <b/>
      <u/>
      <sz val="22"/>
      <name val="Calibri"/>
      <family val="2"/>
    </font>
    <font>
      <b/>
      <u/>
      <sz val="20"/>
      <name val="Calibri"/>
      <family val="2"/>
      <scheme val="minor"/>
    </font>
    <font>
      <b/>
      <u/>
      <sz val="20"/>
      <color theme="10"/>
      <name val="Calibri"/>
      <family val="2"/>
    </font>
    <font>
      <sz val="48"/>
      <name val="Calibri"/>
      <family val="2"/>
      <scheme val="minor"/>
    </font>
    <font>
      <b/>
      <u/>
      <sz val="36"/>
      <name val="Calibri"/>
      <family val="2"/>
    </font>
    <font>
      <b/>
      <u/>
      <sz val="20"/>
      <color theme="1"/>
      <name val="Calibri"/>
      <family val="2"/>
      <scheme val="minor"/>
    </font>
    <font>
      <b/>
      <u/>
      <sz val="22"/>
      <color theme="1"/>
      <name val="Calibri"/>
      <family val="2"/>
      <scheme val="minor"/>
    </font>
    <font>
      <b/>
      <sz val="18"/>
      <name val="Calibri"/>
      <family val="2"/>
      <scheme val="minor"/>
    </font>
    <font>
      <u/>
      <sz val="20"/>
      <name val="Calibri"/>
      <family val="2"/>
      <charset val="178"/>
      <scheme val="minor"/>
    </font>
    <font>
      <b/>
      <u/>
      <sz val="22"/>
      <color theme="10"/>
      <name val="Calibri"/>
      <family val="2"/>
    </font>
    <font>
      <u/>
      <sz val="26"/>
      <color theme="10"/>
      <name val="Calibri"/>
      <family val="2"/>
      <charset val="178"/>
    </font>
    <font>
      <b/>
      <u/>
      <sz val="16"/>
      <color theme="10"/>
      <name val="Calibri"/>
      <family val="2"/>
    </font>
    <font>
      <b/>
      <u/>
      <sz val="12"/>
      <color theme="1"/>
      <name val="Calibri"/>
      <family val="2"/>
      <scheme val="minor"/>
    </font>
    <font>
      <u/>
      <sz val="28"/>
      <name val="Calibri"/>
      <family val="2"/>
      <charset val="178"/>
    </font>
    <font>
      <b/>
      <sz val="18"/>
      <color rgb="FF0070C0"/>
      <name val="Calibri"/>
      <family val="2"/>
      <scheme val="minor"/>
    </font>
    <font>
      <b/>
      <sz val="20"/>
      <color rgb="FF0070C0"/>
      <name val="Calibri"/>
      <family val="2"/>
      <scheme val="minor"/>
    </font>
    <font>
      <b/>
      <u/>
      <sz val="24"/>
      <color theme="4" tint="0.39997558519241921"/>
      <name val="Arial"/>
      <family val="2"/>
    </font>
    <font>
      <b/>
      <sz val="16"/>
      <color rgb="FFFF0000"/>
      <name val="Calibri"/>
      <family val="2"/>
      <scheme val="minor"/>
    </font>
    <font>
      <b/>
      <sz val="11"/>
      <color theme="1"/>
      <name val="Calibri"/>
      <family val="2"/>
      <charset val="178"/>
      <scheme val="minor"/>
    </font>
    <font>
      <b/>
      <sz val="16"/>
      <color theme="7"/>
      <name val="Calibri"/>
      <family val="2"/>
      <scheme val="minor"/>
    </font>
    <font>
      <b/>
      <sz val="14"/>
      <color theme="1"/>
      <name val="Calibri"/>
      <family val="2"/>
      <charset val="178"/>
      <scheme val="minor"/>
    </font>
    <font>
      <b/>
      <sz val="22"/>
      <color rgb="FFFF0000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auto="1"/>
      </patternFill>
    </fill>
    <fill>
      <patternFill patternType="solid">
        <fgColor rgb="FF66FF6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CCC"/>
        <bgColor indexed="64"/>
      </patternFill>
    </fill>
    <fill>
      <patternFill patternType="lightGray"/>
    </fill>
    <fill>
      <patternFill patternType="solid">
        <fgColor rgb="FF99CC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00990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CC0D9"/>
        <bgColor indexed="64"/>
      </patternFill>
    </fill>
    <fill>
      <gradientFill degree="90">
        <stop position="0">
          <color theme="0"/>
        </stop>
        <stop position="1">
          <color theme="0" tint="-0.1490218817712943"/>
        </stop>
      </gradientFill>
    </fill>
    <fill>
      <patternFill patternType="darkTrellis">
        <bgColor rgb="FFFF99FF"/>
      </patternFill>
    </fill>
    <fill>
      <patternFill patternType="solid">
        <fgColor rgb="FFFFFFCC"/>
        <bgColor indexed="64"/>
      </patternFill>
    </fill>
    <fill>
      <patternFill patternType="solid">
        <fgColor rgb="FFFF33CC"/>
        <bgColor indexed="64"/>
      </patternFill>
    </fill>
    <fill>
      <patternFill patternType="darkTrellis">
        <bgColor rgb="FFCCECFF"/>
      </patternFill>
    </fill>
    <fill>
      <patternFill patternType="darkTrellis">
        <bgColor theme="0"/>
      </patternFill>
    </fill>
    <fill>
      <patternFill patternType="lightDown">
        <bgColor theme="7" tint="0.59996337778862885"/>
      </patternFill>
    </fill>
    <fill>
      <patternFill patternType="lightGray">
        <fgColor rgb="FFFF99FF"/>
      </patternFill>
    </fill>
    <fill>
      <patternFill patternType="lightGray">
        <bgColor theme="5" tint="0.79998168889431442"/>
      </patternFill>
    </fill>
    <fill>
      <patternFill patternType="solid">
        <fgColor rgb="FF00FFFF"/>
        <bgColor indexed="64"/>
      </patternFill>
    </fill>
    <fill>
      <patternFill patternType="lightGrid">
        <fgColor rgb="FFFFFF66"/>
        <bgColor rgb="FF0099FF"/>
      </patternFill>
    </fill>
    <fill>
      <patternFill patternType="darkVertical">
        <fgColor rgb="FF00FFFF"/>
        <bgColor rgb="FF66FF66"/>
      </patternFill>
    </fill>
  </fills>
  <borders count="8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/>
      <right/>
      <top style="thick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/>
      <right style="medium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medium">
        <color auto="1"/>
      </top>
      <bottom style="thick">
        <color auto="1"/>
      </bottom>
      <diagonal/>
    </border>
    <border>
      <left/>
      <right style="thin">
        <color auto="1"/>
      </right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double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double">
        <color auto="1"/>
      </right>
      <top style="thick">
        <color auto="1"/>
      </top>
      <bottom/>
      <diagonal/>
    </border>
    <border>
      <left style="thick">
        <color auto="1"/>
      </left>
      <right style="double">
        <color auto="1"/>
      </right>
      <top/>
      <bottom style="thick">
        <color auto="1"/>
      </bottom>
      <diagonal/>
    </border>
    <border>
      <left style="thick">
        <color auto="1"/>
      </left>
      <right style="double">
        <color auto="1"/>
      </right>
      <top style="thick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double">
        <color auto="1"/>
      </bottom>
      <diagonal/>
    </border>
    <border>
      <left/>
      <right style="thick">
        <color auto="1"/>
      </right>
      <top style="thick">
        <color auto="1"/>
      </top>
      <bottom style="double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dashed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/>
      <bottom style="medium">
        <color auto="1"/>
      </bottom>
      <diagonal/>
    </border>
    <border>
      <left style="dashed">
        <color auto="1"/>
      </left>
      <right style="dashed">
        <color auto="1"/>
      </right>
      <top style="medium">
        <color auto="1"/>
      </top>
      <bottom style="medium">
        <color auto="1"/>
      </bottom>
      <diagonal/>
    </border>
    <border>
      <left style="dashed">
        <color auto="1"/>
      </left>
      <right style="dashed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/>
      <top/>
      <bottom style="thick">
        <color auto="1"/>
      </bottom>
      <diagonal/>
    </border>
    <border>
      <left/>
      <right style="thick">
        <color rgb="FFFF0000"/>
      </right>
      <top/>
      <bottom/>
      <diagonal/>
    </border>
    <border>
      <left style="thick">
        <color rgb="FFFF0000"/>
      </left>
      <right/>
      <top/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thick">
        <color rgb="FFFF0000"/>
      </right>
      <top/>
      <bottom style="thick">
        <color rgb="FFFF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ck">
        <color auto="1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827">
    <xf numFmtId="0" fontId="0" fillId="0" borderId="0" xfId="0"/>
    <xf numFmtId="3" fontId="5" fillId="0" borderId="0" xfId="0" applyNumberFormat="1" applyFont="1"/>
    <xf numFmtId="3" fontId="5" fillId="0" borderId="12" xfId="0" applyNumberFormat="1" applyFont="1" applyBorder="1" applyAlignment="1">
      <alignment horizontal="center"/>
    </xf>
    <xf numFmtId="3" fontId="5" fillId="0" borderId="10" xfId="0" applyNumberFormat="1" applyFont="1" applyBorder="1"/>
    <xf numFmtId="3" fontId="5" fillId="0" borderId="19" xfId="0" applyNumberFormat="1" applyFont="1" applyBorder="1"/>
    <xf numFmtId="3" fontId="5" fillId="0" borderId="0" xfId="0" applyNumberFormat="1" applyFont="1" applyAlignment="1">
      <alignment vertical="center" wrapText="1"/>
    </xf>
    <xf numFmtId="3" fontId="5" fillId="0" borderId="13" xfId="0" applyNumberFormat="1" applyFont="1" applyBorder="1"/>
    <xf numFmtId="3" fontId="5" fillId="0" borderId="0" xfId="0" applyNumberFormat="1" applyFont="1" applyBorder="1"/>
    <xf numFmtId="164" fontId="5" fillId="0" borderId="0" xfId="0" applyNumberFormat="1" applyFont="1" applyBorder="1"/>
    <xf numFmtId="4" fontId="5" fillId="0" borderId="13" xfId="0" applyNumberFormat="1" applyFont="1" applyBorder="1"/>
    <xf numFmtId="3" fontId="5" fillId="0" borderId="13" xfId="0" applyNumberFormat="1" applyFont="1" applyBorder="1" applyAlignment="1">
      <alignment horizontal="left"/>
    </xf>
    <xf numFmtId="3" fontId="5" fillId="0" borderId="20" xfId="0" applyNumberFormat="1" applyFont="1" applyBorder="1"/>
    <xf numFmtId="3" fontId="5" fillId="0" borderId="11" xfId="0" applyNumberFormat="1" applyFont="1" applyBorder="1"/>
    <xf numFmtId="3" fontId="5" fillId="0" borderId="21" xfId="0" applyNumberFormat="1" applyFont="1" applyBorder="1"/>
    <xf numFmtId="3" fontId="5" fillId="0" borderId="22" xfId="0" applyNumberFormat="1" applyFont="1" applyBorder="1"/>
    <xf numFmtId="3" fontId="5" fillId="0" borderId="23" xfId="0" applyNumberFormat="1" applyFont="1" applyBorder="1"/>
    <xf numFmtId="3" fontId="5" fillId="0" borderId="0" xfId="0" applyNumberFormat="1" applyFont="1" applyBorder="1" applyAlignment="1">
      <alignment vertical="center"/>
    </xf>
    <xf numFmtId="3" fontId="5" fillId="0" borderId="22" xfId="0" applyNumberFormat="1" applyFont="1" applyBorder="1" applyAlignment="1">
      <alignment vertical="center" wrapText="1"/>
    </xf>
    <xf numFmtId="3" fontId="5" fillId="0" borderId="0" xfId="0" applyNumberFormat="1" applyFont="1" applyBorder="1" applyAlignment="1">
      <alignment horizontal="center" vertical="center" wrapText="1"/>
    </xf>
    <xf numFmtId="3" fontId="5" fillId="0" borderId="23" xfId="0" applyNumberFormat="1" applyFont="1" applyBorder="1" applyAlignment="1">
      <alignment vertical="center" wrapText="1"/>
    </xf>
    <xf numFmtId="3" fontId="5" fillId="0" borderId="0" xfId="0" applyNumberFormat="1" applyFont="1" applyBorder="1" applyAlignment="1">
      <alignment horizontal="center" vertical="center"/>
    </xf>
    <xf numFmtId="3" fontId="5" fillId="0" borderId="24" xfId="0" applyNumberFormat="1" applyFont="1" applyBorder="1"/>
    <xf numFmtId="3" fontId="5" fillId="0" borderId="25" xfId="0" applyNumberFormat="1" applyFont="1" applyBorder="1"/>
    <xf numFmtId="3" fontId="6" fillId="0" borderId="0" xfId="0" applyNumberFormat="1" applyFont="1" applyAlignment="1">
      <alignment horizontal="center"/>
    </xf>
    <xf numFmtId="3" fontId="4" fillId="0" borderId="0" xfId="0" applyNumberFormat="1" applyFont="1" applyAlignment="1">
      <alignment horizontal="center"/>
    </xf>
    <xf numFmtId="3" fontId="4" fillId="0" borderId="0" xfId="0" applyNumberFormat="1" applyFont="1" applyAlignment="1">
      <alignment horizontal="right"/>
    </xf>
    <xf numFmtId="3" fontId="5" fillId="13" borderId="1" xfId="0" applyNumberFormat="1" applyFont="1" applyFill="1" applyBorder="1" applyAlignment="1">
      <alignment horizontal="right"/>
    </xf>
    <xf numFmtId="3" fontId="6" fillId="13" borderId="5" xfId="0" applyNumberFormat="1" applyFont="1" applyFill="1" applyBorder="1" applyAlignment="1">
      <alignment horizontal="center"/>
    </xf>
    <xf numFmtId="3" fontId="6" fillId="13" borderId="6" xfId="0" applyNumberFormat="1" applyFont="1" applyFill="1" applyBorder="1" applyAlignment="1">
      <alignment horizontal="center"/>
    </xf>
    <xf numFmtId="3" fontId="4" fillId="13" borderId="7" xfId="0" applyNumberFormat="1" applyFont="1" applyFill="1" applyBorder="1" applyAlignment="1">
      <alignment horizontal="right"/>
    </xf>
    <xf numFmtId="0" fontId="4" fillId="0" borderId="0" xfId="0" applyFont="1" applyAlignment="1">
      <alignment horizontal="center" vertical="center"/>
    </xf>
    <xf numFmtId="3" fontId="10" fillId="10" borderId="13" xfId="0" applyNumberFormat="1" applyFont="1" applyFill="1" applyBorder="1" applyAlignment="1">
      <alignment horizontal="center" vertical="center"/>
    </xf>
    <xf numFmtId="3" fontId="10" fillId="8" borderId="13" xfId="0" applyNumberFormat="1" applyFont="1" applyFill="1" applyBorder="1" applyAlignment="1">
      <alignment horizontal="center" vertical="center"/>
    </xf>
    <xf numFmtId="3" fontId="12" fillId="8" borderId="13" xfId="0" applyNumberFormat="1" applyFont="1" applyFill="1" applyBorder="1" applyAlignment="1">
      <alignment horizontal="center" vertical="center"/>
    </xf>
    <xf numFmtId="3" fontId="5" fillId="0" borderId="0" xfId="0" applyNumberFormat="1" applyFont="1" applyBorder="1" applyAlignment="1"/>
    <xf numFmtId="3" fontId="5" fillId="0" borderId="12" xfId="0" applyNumberFormat="1" applyFont="1" applyBorder="1" applyAlignment="1"/>
    <xf numFmtId="3" fontId="5" fillId="0" borderId="0" xfId="0" applyNumberFormat="1" applyFont="1" applyFill="1" applyAlignment="1">
      <alignment horizontal="center"/>
    </xf>
    <xf numFmtId="3" fontId="14" fillId="15" borderId="13" xfId="0" applyNumberFormat="1" applyFont="1" applyFill="1" applyBorder="1" applyAlignment="1">
      <alignment horizontal="center" vertical="center"/>
    </xf>
    <xf numFmtId="3" fontId="4" fillId="3" borderId="1" xfId="0" applyNumberFormat="1" applyFont="1" applyFill="1" applyBorder="1" applyAlignment="1">
      <alignment horizontal="center" vertical="center"/>
    </xf>
    <xf numFmtId="3" fontId="4" fillId="3" borderId="1" xfId="0" applyNumberFormat="1" applyFont="1" applyFill="1" applyBorder="1" applyAlignment="1">
      <alignment horizontal="center"/>
    </xf>
    <xf numFmtId="3" fontId="5" fillId="0" borderId="19" xfId="0" applyNumberFormat="1" applyFont="1" applyBorder="1" applyAlignment="1">
      <alignment horizontal="center"/>
    </xf>
    <xf numFmtId="3" fontId="5" fillId="0" borderId="19" xfId="0" applyNumberFormat="1" applyFont="1" applyBorder="1" applyAlignment="1"/>
    <xf numFmtId="3" fontId="5" fillId="0" borderId="0" xfId="0" applyNumberFormat="1" applyFont="1" applyFill="1" applyBorder="1" applyAlignment="1"/>
    <xf numFmtId="3" fontId="5" fillId="0" borderId="0" xfId="0" applyNumberFormat="1" applyFont="1" applyFill="1" applyAlignment="1"/>
    <xf numFmtId="0" fontId="11" fillId="0" borderId="13" xfId="0" applyFont="1" applyBorder="1" applyAlignment="1">
      <alignment horizontal="right" vertical="center"/>
    </xf>
    <xf numFmtId="3" fontId="12" fillId="5" borderId="13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3" fontId="11" fillId="8" borderId="13" xfId="0" applyNumberFormat="1" applyFont="1" applyFill="1" applyBorder="1" applyAlignment="1">
      <alignment horizontal="center" vertical="center"/>
    </xf>
    <xf numFmtId="3" fontId="5" fillId="0" borderId="0" xfId="0" applyNumberFormat="1" applyFont="1" applyFill="1" applyBorder="1" applyAlignment="1">
      <alignment horizontal="center"/>
    </xf>
    <xf numFmtId="3" fontId="5" fillId="0" borderId="10" xfId="0" applyNumberFormat="1" applyFont="1" applyFill="1" applyBorder="1" applyAlignment="1">
      <alignment horizontal="center"/>
    </xf>
    <xf numFmtId="3" fontId="1" fillId="0" borderId="0" xfId="0" applyNumberFormat="1" applyFont="1" applyFill="1" applyAlignment="1">
      <alignment horizontal="center" vertical="top"/>
    </xf>
    <xf numFmtId="3" fontId="5" fillId="0" borderId="12" xfId="0" applyNumberFormat="1" applyFont="1" applyFill="1" applyBorder="1" applyAlignment="1">
      <alignment horizontal="center"/>
    </xf>
    <xf numFmtId="3" fontId="5" fillId="0" borderId="0" xfId="0" applyNumberFormat="1" applyFont="1" applyFill="1" applyAlignment="1">
      <alignment horizontal="center"/>
    </xf>
    <xf numFmtId="3" fontId="3" fillId="0" borderId="0" xfId="0" applyNumberFormat="1" applyFont="1" applyFill="1" applyBorder="1" applyAlignment="1">
      <alignment horizontal="center" wrapText="1"/>
    </xf>
    <xf numFmtId="3" fontId="3" fillId="0" borderId="0" xfId="0" applyNumberFormat="1" applyFont="1" applyFill="1" applyAlignment="1">
      <alignment horizontal="center"/>
    </xf>
    <xf numFmtId="3" fontId="3" fillId="0" borderId="10" xfId="0" applyNumberFormat="1" applyFont="1" applyFill="1" applyBorder="1" applyAlignment="1">
      <alignment horizontal="center"/>
    </xf>
    <xf numFmtId="3" fontId="3" fillId="0" borderId="10" xfId="0" applyNumberFormat="1" applyFont="1" applyFill="1" applyBorder="1" applyAlignment="1">
      <alignment horizontal="center" wrapText="1"/>
    </xf>
    <xf numFmtId="3" fontId="5" fillId="0" borderId="13" xfId="0" applyNumberFormat="1" applyFont="1" applyFill="1" applyBorder="1" applyAlignment="1">
      <alignment horizontal="center" vertical="center" readingOrder="2"/>
    </xf>
    <xf numFmtId="3" fontId="5" fillId="0" borderId="13" xfId="0" applyNumberFormat="1" applyFont="1" applyFill="1" applyBorder="1" applyAlignment="1">
      <alignment horizontal="center" readingOrder="2"/>
    </xf>
    <xf numFmtId="3" fontId="5" fillId="0" borderId="28" xfId="0" applyNumberFormat="1" applyFont="1" applyFill="1" applyBorder="1" applyAlignment="1">
      <alignment horizontal="center"/>
    </xf>
    <xf numFmtId="3" fontId="5" fillId="19" borderId="28" xfId="0" applyNumberFormat="1" applyFont="1" applyFill="1" applyBorder="1" applyAlignment="1">
      <alignment horizontal="center"/>
    </xf>
    <xf numFmtId="3" fontId="5" fillId="19" borderId="12" xfId="0" applyNumberFormat="1" applyFont="1" applyFill="1" applyBorder="1" applyAlignment="1">
      <alignment horizontal="center"/>
    </xf>
    <xf numFmtId="3" fontId="3" fillId="0" borderId="13" xfId="0" applyNumberFormat="1" applyFont="1" applyFill="1" applyBorder="1" applyAlignment="1">
      <alignment horizontal="center" readingOrder="2"/>
    </xf>
    <xf numFmtId="3" fontId="3" fillId="20" borderId="29" xfId="0" applyNumberFormat="1" applyFont="1" applyFill="1" applyBorder="1" applyAlignment="1">
      <alignment horizontal="center" vertical="center" readingOrder="2"/>
    </xf>
    <xf numFmtId="3" fontId="2" fillId="20" borderId="11" xfId="0" applyNumberFormat="1" applyFont="1" applyFill="1" applyBorder="1" applyAlignment="1">
      <alignment horizontal="center" vertical="center" readingOrder="2"/>
    </xf>
    <xf numFmtId="3" fontId="2" fillId="20" borderId="21" xfId="0" applyNumberFormat="1" applyFont="1" applyFill="1" applyBorder="1" applyAlignment="1">
      <alignment horizontal="center" vertical="center" readingOrder="2"/>
    </xf>
    <xf numFmtId="3" fontId="4" fillId="20" borderId="13" xfId="0" applyNumberFormat="1" applyFont="1" applyFill="1" applyBorder="1" applyAlignment="1">
      <alignment horizontal="center" readingOrder="2"/>
    </xf>
    <xf numFmtId="3" fontId="2" fillId="20" borderId="13" xfId="0" applyNumberFormat="1" applyFont="1" applyFill="1" applyBorder="1" applyAlignment="1">
      <alignment horizontal="center"/>
    </xf>
    <xf numFmtId="3" fontId="5" fillId="16" borderId="13" xfId="0" applyNumberFormat="1" applyFont="1" applyFill="1" applyBorder="1" applyAlignment="1">
      <alignment horizontal="center"/>
    </xf>
    <xf numFmtId="3" fontId="2" fillId="20" borderId="13" xfId="0" applyNumberFormat="1" applyFont="1" applyFill="1" applyBorder="1" applyAlignment="1">
      <alignment horizontal="center" vertical="center" wrapText="1" readingOrder="2"/>
    </xf>
    <xf numFmtId="3" fontId="5" fillId="20" borderId="13" xfId="0" applyNumberFormat="1" applyFont="1" applyFill="1" applyBorder="1" applyAlignment="1">
      <alignment horizontal="center" readingOrder="2"/>
    </xf>
    <xf numFmtId="3" fontId="5" fillId="20" borderId="13" xfId="0" applyNumberFormat="1" applyFont="1" applyFill="1" applyBorder="1" applyAlignment="1">
      <alignment horizontal="center" vertical="center" readingOrder="2"/>
    </xf>
    <xf numFmtId="3" fontId="8" fillId="20" borderId="13" xfId="0" applyNumberFormat="1" applyFont="1" applyFill="1" applyBorder="1" applyAlignment="1">
      <alignment horizontal="center" readingOrder="2"/>
    </xf>
    <xf numFmtId="3" fontId="5" fillId="16" borderId="13" xfId="0" applyNumberFormat="1" applyFont="1" applyFill="1" applyBorder="1" applyAlignment="1">
      <alignment horizontal="center" readingOrder="2"/>
    </xf>
    <xf numFmtId="3" fontId="5" fillId="16" borderId="13" xfId="0" applyNumberFormat="1" applyFont="1" applyFill="1" applyBorder="1" applyAlignment="1">
      <alignment horizontal="center" vertical="center" readingOrder="2"/>
    </xf>
    <xf numFmtId="3" fontId="5" fillId="0" borderId="44" xfId="0" applyNumberFormat="1" applyFont="1" applyFill="1" applyBorder="1" applyAlignment="1">
      <alignment horizontal="center"/>
    </xf>
    <xf numFmtId="3" fontId="5" fillId="0" borderId="45" xfId="0" applyNumberFormat="1" applyFont="1" applyFill="1" applyBorder="1" applyAlignment="1">
      <alignment horizontal="center" vertical="center" readingOrder="2"/>
    </xf>
    <xf numFmtId="3" fontId="5" fillId="0" borderId="46" xfId="0" applyNumberFormat="1" applyFont="1" applyFill="1" applyBorder="1" applyAlignment="1">
      <alignment horizontal="center" vertical="center" readingOrder="2"/>
    </xf>
    <xf numFmtId="3" fontId="5" fillId="0" borderId="47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 readingOrder="2"/>
    </xf>
    <xf numFmtId="3" fontId="5" fillId="0" borderId="48" xfId="0" applyNumberFormat="1" applyFont="1" applyFill="1" applyBorder="1" applyAlignment="1">
      <alignment horizontal="center" readingOrder="2"/>
    </xf>
    <xf numFmtId="3" fontId="5" fillId="20" borderId="47" xfId="0" applyNumberFormat="1" applyFont="1" applyFill="1" applyBorder="1" applyAlignment="1">
      <alignment horizontal="center"/>
    </xf>
    <xf numFmtId="3" fontId="5" fillId="20" borderId="1" xfId="0" applyNumberFormat="1" applyFont="1" applyFill="1" applyBorder="1" applyAlignment="1">
      <alignment horizontal="center" readingOrder="2"/>
    </xf>
    <xf numFmtId="3" fontId="5" fillId="20" borderId="48" xfId="0" applyNumberFormat="1" applyFont="1" applyFill="1" applyBorder="1" applyAlignment="1">
      <alignment horizontal="center" readingOrder="2"/>
    </xf>
    <xf numFmtId="3" fontId="8" fillId="0" borderId="1" xfId="0" applyNumberFormat="1" applyFont="1" applyFill="1" applyBorder="1" applyAlignment="1">
      <alignment horizontal="center" readingOrder="2"/>
    </xf>
    <xf numFmtId="3" fontId="8" fillId="0" borderId="48" xfId="0" applyNumberFormat="1" applyFont="1" applyFill="1" applyBorder="1" applyAlignment="1">
      <alignment horizontal="center" readingOrder="2"/>
    </xf>
    <xf numFmtId="3" fontId="8" fillId="20" borderId="1" xfId="0" applyNumberFormat="1" applyFont="1" applyFill="1" applyBorder="1" applyAlignment="1">
      <alignment horizontal="center" readingOrder="2"/>
    </xf>
    <xf numFmtId="3" fontId="8" fillId="20" borderId="48" xfId="0" applyNumberFormat="1" applyFont="1" applyFill="1" applyBorder="1" applyAlignment="1">
      <alignment horizontal="center" readingOrder="2"/>
    </xf>
    <xf numFmtId="3" fontId="5" fillId="16" borderId="49" xfId="0" applyNumberFormat="1" applyFont="1" applyFill="1" applyBorder="1" applyAlignment="1">
      <alignment horizontal="center"/>
    </xf>
    <xf numFmtId="3" fontId="5" fillId="16" borderId="42" xfId="0" applyNumberFormat="1" applyFont="1" applyFill="1" applyBorder="1" applyAlignment="1">
      <alignment horizontal="center" readingOrder="2"/>
    </xf>
    <xf numFmtId="3" fontId="5" fillId="16" borderId="50" xfId="0" applyNumberFormat="1" applyFont="1" applyFill="1" applyBorder="1" applyAlignment="1">
      <alignment horizontal="center" readingOrder="2"/>
    </xf>
    <xf numFmtId="3" fontId="5" fillId="0" borderId="2" xfId="0" applyNumberFormat="1" applyFont="1" applyFill="1" applyBorder="1" applyAlignment="1">
      <alignment horizontal="center" readingOrder="2"/>
    </xf>
    <xf numFmtId="3" fontId="5" fillId="20" borderId="7" xfId="0" applyNumberFormat="1" applyFont="1" applyFill="1" applyBorder="1" applyAlignment="1">
      <alignment horizontal="center"/>
    </xf>
    <xf numFmtId="3" fontId="5" fillId="20" borderId="51" xfId="0" applyNumberFormat="1" applyFont="1" applyFill="1" applyBorder="1" applyAlignment="1">
      <alignment horizontal="center" readingOrder="2"/>
    </xf>
    <xf numFmtId="3" fontId="5" fillId="20" borderId="44" xfId="0" applyNumberFormat="1" applyFont="1" applyFill="1" applyBorder="1" applyAlignment="1">
      <alignment horizontal="center"/>
    </xf>
    <xf numFmtId="3" fontId="8" fillId="20" borderId="45" xfId="0" applyNumberFormat="1" applyFont="1" applyFill="1" applyBorder="1" applyAlignment="1">
      <alignment horizontal="center" readingOrder="2"/>
    </xf>
    <xf numFmtId="3" fontId="8" fillId="20" borderId="46" xfId="0" applyNumberFormat="1" applyFont="1" applyFill="1" applyBorder="1" applyAlignment="1">
      <alignment horizontal="center" readingOrder="2"/>
    </xf>
    <xf numFmtId="3" fontId="5" fillId="16" borderId="47" xfId="0" applyNumberFormat="1" applyFont="1" applyFill="1" applyBorder="1" applyAlignment="1">
      <alignment horizontal="center"/>
    </xf>
    <xf numFmtId="3" fontId="5" fillId="16" borderId="1" xfId="0" applyNumberFormat="1" applyFont="1" applyFill="1" applyBorder="1" applyAlignment="1">
      <alignment horizontal="center" readingOrder="2"/>
    </xf>
    <xf numFmtId="3" fontId="5" fillId="16" borderId="48" xfId="0" applyNumberFormat="1" applyFont="1" applyFill="1" applyBorder="1" applyAlignment="1">
      <alignment horizontal="center" readingOrder="2"/>
    </xf>
    <xf numFmtId="3" fontId="5" fillId="21" borderId="47" xfId="0" applyNumberFormat="1" applyFont="1" applyFill="1" applyBorder="1" applyAlignment="1">
      <alignment horizontal="center"/>
    </xf>
    <xf numFmtId="3" fontId="5" fillId="21" borderId="45" xfId="0" applyNumberFormat="1" applyFont="1" applyFill="1" applyBorder="1" applyAlignment="1">
      <alignment horizontal="center" readingOrder="2"/>
    </xf>
    <xf numFmtId="3" fontId="5" fillId="21" borderId="46" xfId="0" applyNumberFormat="1" applyFont="1" applyFill="1" applyBorder="1" applyAlignment="1">
      <alignment horizontal="center" readingOrder="2"/>
    </xf>
    <xf numFmtId="3" fontId="5" fillId="21" borderId="49" xfId="0" applyNumberFormat="1" applyFont="1" applyFill="1" applyBorder="1" applyAlignment="1">
      <alignment horizontal="center"/>
    </xf>
    <xf numFmtId="3" fontId="5" fillId="21" borderId="42" xfId="0" applyNumberFormat="1" applyFont="1" applyFill="1" applyBorder="1" applyAlignment="1">
      <alignment horizontal="center" readingOrder="2"/>
    </xf>
    <xf numFmtId="3" fontId="5" fillId="21" borderId="50" xfId="0" applyNumberFormat="1" applyFont="1" applyFill="1" applyBorder="1" applyAlignment="1">
      <alignment horizontal="center" readingOrder="2"/>
    </xf>
    <xf numFmtId="3" fontId="5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 vertical="top"/>
    </xf>
    <xf numFmtId="3" fontId="1" fillId="0" borderId="1" xfId="0" applyNumberFormat="1" applyFont="1" applyFill="1" applyBorder="1" applyAlignment="1">
      <alignment horizontal="center" vertical="top"/>
    </xf>
    <xf numFmtId="3" fontId="4" fillId="0" borderId="0" xfId="0" applyNumberFormat="1" applyFont="1" applyFill="1" applyBorder="1" applyAlignment="1">
      <alignment horizontal="center" vertical="center"/>
    </xf>
    <xf numFmtId="3" fontId="4" fillId="18" borderId="13" xfId="0" applyNumberFormat="1" applyFont="1" applyFill="1" applyBorder="1" applyAlignment="1">
      <alignment horizontal="center"/>
    </xf>
    <xf numFmtId="3" fontId="19" fillId="0" borderId="0" xfId="0" applyNumberFormat="1" applyFont="1" applyAlignment="1">
      <alignment horizontal="center"/>
    </xf>
    <xf numFmtId="3" fontId="9" fillId="13" borderId="6" xfId="0" applyNumberFormat="1" applyFont="1" applyFill="1" applyBorder="1" applyAlignment="1">
      <alignment horizontal="center" vertical="center"/>
    </xf>
    <xf numFmtId="3" fontId="9" fillId="0" borderId="0" xfId="0" applyNumberFormat="1" applyFont="1" applyAlignment="1">
      <alignment horizontal="center"/>
    </xf>
    <xf numFmtId="3" fontId="5" fillId="0" borderId="0" xfId="0" applyNumberFormat="1" applyFont="1" applyFill="1" applyAlignment="1">
      <alignment horizontal="center"/>
    </xf>
    <xf numFmtId="3" fontId="4" fillId="16" borderId="1" xfId="0" applyNumberFormat="1" applyFont="1" applyFill="1" applyBorder="1" applyAlignment="1">
      <alignment horizontal="center" vertical="center"/>
    </xf>
    <xf numFmtId="3" fontId="10" fillId="8" borderId="13" xfId="0" applyNumberFormat="1" applyFont="1" applyFill="1" applyBorder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8" xfId="0" applyNumberFormat="1" applyFont="1" applyFill="1" applyBorder="1" applyAlignment="1">
      <alignment horizontal="center" vertical="center"/>
    </xf>
    <xf numFmtId="3" fontId="4" fillId="0" borderId="3" xfId="0" applyNumberFormat="1" applyFont="1" applyFill="1" applyBorder="1" applyAlignment="1">
      <alignment horizontal="center"/>
    </xf>
    <xf numFmtId="3" fontId="4" fillId="0" borderId="1" xfId="0" applyNumberFormat="1" applyFont="1" applyFill="1" applyBorder="1" applyAlignment="1">
      <alignment horizontal="center"/>
    </xf>
    <xf numFmtId="3" fontId="13" fillId="0" borderId="1" xfId="0" applyNumberFormat="1" applyFont="1" applyFill="1" applyBorder="1" applyAlignment="1">
      <alignment horizontal="center"/>
    </xf>
    <xf numFmtId="3" fontId="4" fillId="0" borderId="8" xfId="0" applyNumberFormat="1" applyFont="1" applyBorder="1" applyAlignment="1">
      <alignment horizontal="center"/>
    </xf>
    <xf numFmtId="3" fontId="4" fillId="0" borderId="37" xfId="0" applyNumberFormat="1" applyFont="1" applyBorder="1" applyAlignment="1">
      <alignment horizontal="center"/>
    </xf>
    <xf numFmtId="3" fontId="4" fillId="18" borderId="1" xfId="0" applyNumberFormat="1" applyFont="1" applyFill="1" applyBorder="1" applyAlignment="1">
      <alignment horizontal="center"/>
    </xf>
    <xf numFmtId="3" fontId="4" fillId="18" borderId="1" xfId="0" applyNumberFormat="1" applyFont="1" applyFill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/>
    </xf>
    <xf numFmtId="3" fontId="4" fillId="0" borderId="20" xfId="0" applyNumberFormat="1" applyFont="1" applyBorder="1" applyAlignment="1">
      <alignment horizontal="center" vertical="center"/>
    </xf>
    <xf numFmtId="3" fontId="4" fillId="0" borderId="11" xfId="0" applyNumberFormat="1" applyFont="1" applyBorder="1" applyAlignment="1">
      <alignment horizontal="center" vertical="center"/>
    </xf>
    <xf numFmtId="3" fontId="4" fillId="8" borderId="29" xfId="0" applyNumberFormat="1" applyFont="1" applyFill="1" applyBorder="1" applyAlignment="1">
      <alignment horizontal="center" vertical="center"/>
    </xf>
    <xf numFmtId="3" fontId="4" fillId="8" borderId="34" xfId="0" applyNumberFormat="1" applyFont="1" applyFill="1" applyBorder="1" applyAlignment="1">
      <alignment horizontal="center" vertical="center"/>
    </xf>
    <xf numFmtId="3" fontId="4" fillId="8" borderId="16" xfId="0" applyNumberFormat="1" applyFont="1" applyFill="1" applyBorder="1" applyAlignment="1">
      <alignment horizontal="center" vertical="center"/>
    </xf>
    <xf numFmtId="3" fontId="4" fillId="0" borderId="30" xfId="0" applyNumberFormat="1" applyFont="1" applyBorder="1" applyAlignment="1">
      <alignment horizontal="center" vertical="center"/>
    </xf>
    <xf numFmtId="3" fontId="20" fillId="0" borderId="30" xfId="0" applyNumberFormat="1" applyFont="1" applyBorder="1" applyAlignment="1">
      <alignment horizontal="center" vertical="center"/>
    </xf>
    <xf numFmtId="3" fontId="20" fillId="0" borderId="13" xfId="0" applyNumberFormat="1" applyFont="1" applyBorder="1" applyAlignment="1">
      <alignment horizontal="center" vertical="center"/>
    </xf>
    <xf numFmtId="3" fontId="20" fillId="0" borderId="29" xfId="0" applyNumberFormat="1" applyFont="1" applyBorder="1" applyAlignment="1">
      <alignment horizontal="center" vertical="center"/>
    </xf>
    <xf numFmtId="3" fontId="4" fillId="0" borderId="29" xfId="0" applyNumberFormat="1" applyFont="1" applyBorder="1" applyAlignment="1">
      <alignment horizontal="center" vertical="center"/>
    </xf>
    <xf numFmtId="3" fontId="4" fillId="0" borderId="13" xfId="0" applyNumberFormat="1" applyFont="1" applyBorder="1" applyAlignment="1">
      <alignment horizontal="right" vertical="center"/>
    </xf>
    <xf numFmtId="3" fontId="4" fillId="0" borderId="29" xfId="0" applyNumberFormat="1" applyFont="1" applyFill="1" applyBorder="1" applyAlignment="1">
      <alignment horizontal="center" vertical="center"/>
    </xf>
    <xf numFmtId="3" fontId="4" fillId="0" borderId="13" xfId="0" applyNumberFormat="1" applyFont="1" applyFill="1" applyBorder="1" applyAlignment="1">
      <alignment horizontal="right" vertical="center"/>
    </xf>
    <xf numFmtId="3" fontId="4" fillId="0" borderId="13" xfId="0" applyNumberFormat="1" applyFont="1" applyBorder="1" applyAlignment="1">
      <alignment horizontal="center" vertical="center"/>
    </xf>
    <xf numFmtId="3" fontId="21" fillId="0" borderId="0" xfId="0" applyNumberFormat="1" applyFont="1" applyAlignment="1">
      <alignment horizontal="center" vertical="center"/>
    </xf>
    <xf numFmtId="3" fontId="21" fillId="0" borderId="0" xfId="0" applyNumberFormat="1" applyFont="1" applyAlignment="1">
      <alignment horizontal="right" vertical="center"/>
    </xf>
    <xf numFmtId="3" fontId="4" fillId="10" borderId="13" xfId="0" applyNumberFormat="1" applyFont="1" applyFill="1" applyBorder="1" applyAlignment="1">
      <alignment horizontal="center" vertical="center"/>
    </xf>
    <xf numFmtId="3" fontId="4" fillId="17" borderId="13" xfId="0" applyNumberFormat="1" applyFont="1" applyFill="1" applyBorder="1" applyAlignment="1">
      <alignment horizontal="center" vertical="center"/>
    </xf>
    <xf numFmtId="3" fontId="4" fillId="17" borderId="28" xfId="0" applyNumberFormat="1" applyFont="1" applyFill="1" applyBorder="1" applyAlignment="1">
      <alignment horizontal="center" vertical="center"/>
    </xf>
    <xf numFmtId="3" fontId="4" fillId="17" borderId="28" xfId="0" applyNumberFormat="1" applyFont="1" applyFill="1" applyBorder="1" applyAlignment="1">
      <alignment horizontal="right" vertical="center"/>
    </xf>
    <xf numFmtId="3" fontId="4" fillId="0" borderId="0" xfId="0" applyNumberFormat="1" applyFont="1" applyFill="1" applyAlignment="1">
      <alignment horizontal="center" vertical="center"/>
    </xf>
    <xf numFmtId="3" fontId="4" fillId="0" borderId="30" xfId="0" applyNumberFormat="1" applyFont="1" applyFill="1" applyBorder="1" applyAlignment="1">
      <alignment horizontal="center" vertical="center"/>
    </xf>
    <xf numFmtId="3" fontId="4" fillId="0" borderId="13" xfId="0" applyNumberFormat="1" applyFont="1" applyFill="1" applyBorder="1" applyAlignment="1">
      <alignment horizontal="center" vertical="center"/>
    </xf>
    <xf numFmtId="3" fontId="4" fillId="8" borderId="32" xfId="0" applyNumberFormat="1" applyFont="1" applyFill="1" applyBorder="1" applyAlignment="1">
      <alignment horizontal="center" vertical="center"/>
    </xf>
    <xf numFmtId="3" fontId="4" fillId="8" borderId="32" xfId="0" applyNumberFormat="1" applyFont="1" applyFill="1" applyBorder="1" applyAlignment="1">
      <alignment horizontal="center" vertical="center" wrapText="1"/>
    </xf>
    <xf numFmtId="3" fontId="13" fillId="0" borderId="0" xfId="0" applyNumberFormat="1" applyFont="1" applyAlignment="1">
      <alignment horizontal="center" vertical="center"/>
    </xf>
    <xf numFmtId="3" fontId="20" fillId="0" borderId="42" xfId="0" applyNumberFormat="1" applyFont="1" applyBorder="1" applyAlignment="1">
      <alignment horizontal="center" vertical="center"/>
    </xf>
    <xf numFmtId="3" fontId="20" fillId="0" borderId="35" xfId="0" applyNumberFormat="1" applyFont="1" applyBorder="1" applyAlignment="1">
      <alignment horizontal="center" vertical="center"/>
    </xf>
    <xf numFmtId="3" fontId="20" fillId="0" borderId="33" xfId="0" applyNumberFormat="1" applyFont="1" applyBorder="1" applyAlignment="1">
      <alignment horizontal="center" vertical="center"/>
    </xf>
    <xf numFmtId="3" fontId="4" fillId="16" borderId="13" xfId="0" applyNumberFormat="1" applyFont="1" applyFill="1" applyBorder="1" applyAlignment="1">
      <alignment horizontal="center" vertical="center"/>
    </xf>
    <xf numFmtId="3" fontId="4" fillId="16" borderId="1" xfId="0" applyNumberFormat="1" applyFont="1" applyFill="1" applyBorder="1" applyAlignment="1">
      <alignment horizontal="right" vertical="center"/>
    </xf>
    <xf numFmtId="3" fontId="4" fillId="0" borderId="1" xfId="0" applyNumberFormat="1" applyFont="1" applyBorder="1" applyAlignment="1">
      <alignment horizontal="right" vertical="center"/>
    </xf>
    <xf numFmtId="3" fontId="13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vertical="center"/>
    </xf>
    <xf numFmtId="3" fontId="4" fillId="8" borderId="1" xfId="0" applyNumberFormat="1" applyFont="1" applyFill="1" applyBorder="1" applyAlignment="1">
      <alignment horizontal="right" vertical="center"/>
    </xf>
    <xf numFmtId="3" fontId="13" fillId="0" borderId="1" xfId="0" applyNumberFormat="1" applyFont="1" applyBorder="1" applyAlignment="1">
      <alignment horizontal="right" vertical="center"/>
    </xf>
    <xf numFmtId="3" fontId="4" fillId="23" borderId="1" xfId="0" applyNumberFormat="1" applyFont="1" applyFill="1" applyBorder="1" applyAlignment="1">
      <alignment horizontal="center" vertical="center"/>
    </xf>
    <xf numFmtId="3" fontId="4" fillId="23" borderId="1" xfId="0" applyNumberFormat="1" applyFont="1" applyFill="1" applyBorder="1" applyAlignment="1">
      <alignment vertical="center"/>
    </xf>
    <xf numFmtId="3" fontId="22" fillId="0" borderId="0" xfId="0" applyNumberFormat="1" applyFont="1" applyAlignment="1">
      <alignment horizontal="center" vertical="center"/>
    </xf>
    <xf numFmtId="3" fontId="4" fillId="3" borderId="3" xfId="0" applyNumberFormat="1" applyFont="1" applyFill="1" applyBorder="1" applyAlignment="1">
      <alignment horizontal="center"/>
    </xf>
    <xf numFmtId="3" fontId="4" fillId="3" borderId="55" xfId="0" applyNumberFormat="1" applyFont="1" applyFill="1" applyBorder="1" applyAlignment="1">
      <alignment horizontal="center"/>
    </xf>
    <xf numFmtId="3" fontId="4" fillId="24" borderId="54" xfId="0" applyNumberFormat="1" applyFont="1" applyFill="1" applyBorder="1" applyAlignment="1">
      <alignment horizontal="center"/>
    </xf>
    <xf numFmtId="4" fontId="4" fillId="24" borderId="54" xfId="0" applyNumberFormat="1" applyFont="1" applyFill="1" applyBorder="1" applyAlignment="1">
      <alignment horizontal="center"/>
    </xf>
    <xf numFmtId="3" fontId="5" fillId="0" borderId="0" xfId="0" applyNumberFormat="1" applyFont="1" applyFill="1" applyAlignment="1">
      <alignment horizontal="center"/>
    </xf>
    <xf numFmtId="3" fontId="5" fillId="0" borderId="14" xfId="0" applyNumberFormat="1" applyFont="1" applyBorder="1" applyAlignment="1">
      <alignment horizontal="center"/>
    </xf>
    <xf numFmtId="3" fontId="5" fillId="0" borderId="1" xfId="0" applyNumberFormat="1" applyFont="1" applyFill="1" applyBorder="1" applyAlignment="1">
      <alignment horizontal="center" wrapText="1"/>
    </xf>
    <xf numFmtId="3" fontId="5" fillId="11" borderId="1" xfId="0" applyNumberFormat="1" applyFont="1" applyFill="1" applyBorder="1" applyAlignment="1">
      <alignment horizontal="center"/>
    </xf>
    <xf numFmtId="0" fontId="3" fillId="8" borderId="13" xfId="0" applyFont="1" applyFill="1" applyBorder="1" applyAlignment="1">
      <alignment horizontal="center" vertical="center"/>
    </xf>
    <xf numFmtId="0" fontId="3" fillId="8" borderId="13" xfId="0" applyFont="1" applyFill="1" applyBorder="1" applyAlignment="1">
      <alignment horizontal="center" vertical="center" wrapText="1"/>
    </xf>
    <xf numFmtId="0" fontId="4" fillId="16" borderId="32" xfId="0" applyFont="1" applyFill="1" applyBorder="1" applyAlignment="1">
      <alignment horizontal="center" vertical="center"/>
    </xf>
    <xf numFmtId="3" fontId="5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center"/>
    </xf>
    <xf numFmtId="3" fontId="5" fillId="0" borderId="0" xfId="0" applyNumberFormat="1" applyFont="1" applyFill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 applyAlignment="1">
      <alignment horizontal="center"/>
    </xf>
    <xf numFmtId="3" fontId="23" fillId="0" borderId="14" xfId="0" applyNumberFormat="1" applyFont="1" applyFill="1" applyBorder="1" applyAlignment="1">
      <alignment horizontal="center"/>
    </xf>
    <xf numFmtId="3" fontId="5" fillId="0" borderId="0" xfId="0" applyNumberFormat="1" applyFont="1" applyBorder="1" applyAlignment="1">
      <alignment horizontal="center" vertical="top"/>
    </xf>
    <xf numFmtId="12" fontId="5" fillId="0" borderId="0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right" vertical="center" wrapText="1"/>
    </xf>
    <xf numFmtId="3" fontId="5" fillId="0" borderId="10" xfId="0" applyNumberFormat="1" applyFont="1" applyBorder="1" applyAlignment="1">
      <alignment horizontal="center"/>
    </xf>
    <xf numFmtId="3" fontId="5" fillId="0" borderId="11" xfId="0" applyNumberFormat="1" applyFont="1" applyBorder="1" applyAlignment="1">
      <alignment horizontal="center" vertical="top"/>
    </xf>
    <xf numFmtId="3" fontId="24" fillId="0" borderId="13" xfId="0" applyNumberFormat="1" applyFont="1" applyBorder="1"/>
    <xf numFmtId="3" fontId="5" fillId="0" borderId="10" xfId="0" applyNumberFormat="1" applyFont="1" applyFill="1" applyBorder="1" applyAlignment="1">
      <alignment horizontal="center" wrapText="1"/>
    </xf>
    <xf numFmtId="3" fontId="5" fillId="0" borderId="0" xfId="0" applyNumberFormat="1" applyFont="1" applyBorder="1" applyAlignment="1">
      <alignment horizontal="center"/>
    </xf>
    <xf numFmtId="3" fontId="5" fillId="0" borderId="0" xfId="0" applyNumberFormat="1" applyFont="1" applyFill="1" applyAlignment="1">
      <alignment horizontal="center"/>
    </xf>
    <xf numFmtId="3" fontId="4" fillId="0" borderId="0" xfId="0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4" fontId="5" fillId="0" borderId="5" xfId="0" applyNumberFormat="1" applyFon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 wrapText="1"/>
    </xf>
    <xf numFmtId="3" fontId="12" fillId="3" borderId="13" xfId="0" applyNumberFormat="1" applyFont="1" applyFill="1" applyBorder="1" applyAlignment="1">
      <alignment horizontal="center" vertical="center"/>
    </xf>
    <xf numFmtId="3" fontId="4" fillId="24" borderId="54" xfId="0" applyNumberFormat="1" applyFont="1" applyFill="1" applyBorder="1" applyAlignment="1">
      <alignment horizontal="center"/>
    </xf>
    <xf numFmtId="4" fontId="4" fillId="24" borderId="58" xfId="0" applyNumberFormat="1" applyFont="1" applyFill="1" applyBorder="1" applyAlignment="1">
      <alignment horizontal="center"/>
    </xf>
    <xf numFmtId="3" fontId="4" fillId="0" borderId="5" xfId="0" applyNumberFormat="1" applyFont="1" applyFill="1" applyBorder="1" applyAlignment="1">
      <alignment horizontal="center" vertical="center"/>
    </xf>
    <xf numFmtId="3" fontId="4" fillId="3" borderId="59" xfId="0" applyNumberFormat="1" applyFont="1" applyFill="1" applyBorder="1" applyAlignment="1">
      <alignment horizontal="center"/>
    </xf>
    <xf numFmtId="3" fontId="4" fillId="0" borderId="60" xfId="0" applyNumberFormat="1" applyFont="1" applyFill="1" applyBorder="1" applyAlignment="1">
      <alignment horizontal="center"/>
    </xf>
    <xf numFmtId="3" fontId="4" fillId="3" borderId="2" xfId="0" applyNumberFormat="1" applyFont="1" applyFill="1" applyBorder="1" applyAlignment="1">
      <alignment horizontal="center" vertical="center"/>
    </xf>
    <xf numFmtId="3" fontId="4" fillId="3" borderId="16" xfId="0" applyNumberFormat="1" applyFont="1" applyFill="1" applyBorder="1" applyAlignment="1">
      <alignment horizontal="center" vertical="center"/>
    </xf>
    <xf numFmtId="3" fontId="4" fillId="3" borderId="61" xfId="0" applyNumberFormat="1" applyFont="1" applyFill="1" applyBorder="1" applyAlignment="1">
      <alignment horizontal="center"/>
    </xf>
    <xf numFmtId="3" fontId="4" fillId="0" borderId="16" xfId="0" applyNumberFormat="1" applyFont="1" applyFill="1" applyBorder="1" applyAlignment="1">
      <alignment horizontal="center" vertical="center"/>
    </xf>
    <xf numFmtId="3" fontId="4" fillId="0" borderId="15" xfId="0" applyNumberFormat="1" applyFont="1" applyBorder="1" applyAlignment="1">
      <alignment horizontal="center"/>
    </xf>
    <xf numFmtId="0" fontId="4" fillId="2" borderId="13" xfId="0" applyFont="1" applyFill="1" applyBorder="1" applyAlignment="1">
      <alignment horizontal="center" vertical="center"/>
    </xf>
    <xf numFmtId="3" fontId="0" fillId="0" borderId="62" xfId="0" applyNumberFormat="1" applyBorder="1"/>
    <xf numFmtId="3" fontId="1" fillId="2" borderId="62" xfId="0" applyNumberFormat="1" applyFont="1" applyFill="1" applyBorder="1" applyAlignment="1">
      <alignment horizontal="center"/>
    </xf>
    <xf numFmtId="3" fontId="0" fillId="2" borderId="62" xfId="0" applyNumberFormat="1" applyFill="1" applyBorder="1"/>
    <xf numFmtId="4" fontId="0" fillId="0" borderId="62" xfId="0" applyNumberFormat="1" applyBorder="1"/>
    <xf numFmtId="3" fontId="29" fillId="2" borderId="62" xfId="0" applyNumberFormat="1" applyFont="1" applyFill="1" applyBorder="1"/>
    <xf numFmtId="3" fontId="5" fillId="0" borderId="0" xfId="0" applyNumberFormat="1" applyFont="1" applyBorder="1" applyAlignment="1">
      <alignment horizontal="center"/>
    </xf>
    <xf numFmtId="3" fontId="5" fillId="0" borderId="0" xfId="0" applyNumberFormat="1" applyFont="1" applyFill="1" applyAlignment="1">
      <alignment horizontal="center"/>
    </xf>
    <xf numFmtId="3" fontId="4" fillId="0" borderId="13" xfId="0" applyNumberFormat="1" applyFont="1" applyBorder="1" applyAlignment="1">
      <alignment horizontal="center" vertical="center"/>
    </xf>
    <xf numFmtId="3" fontId="5" fillId="0" borderId="7" xfId="0" applyNumberFormat="1" applyFont="1" applyBorder="1" applyAlignment="1">
      <alignment horizontal="center"/>
    </xf>
    <xf numFmtId="3" fontId="0" fillId="11" borderId="62" xfId="0" applyNumberFormat="1" applyFill="1" applyBorder="1"/>
    <xf numFmtId="0" fontId="4" fillId="0" borderId="13" xfId="0" applyFont="1" applyBorder="1" applyAlignment="1">
      <alignment horizontal="center" vertical="center"/>
    </xf>
    <xf numFmtId="3" fontId="4" fillId="0" borderId="13" xfId="0" applyNumberFormat="1" applyFont="1" applyBorder="1" applyAlignment="1">
      <alignment horizontal="center" vertical="center"/>
    </xf>
    <xf numFmtId="4" fontId="1" fillId="0" borderId="0" xfId="0" applyNumberFormat="1" applyFont="1"/>
    <xf numFmtId="4" fontId="1" fillId="18" borderId="15" xfId="0" applyNumberFormat="1" applyFont="1" applyFill="1" applyBorder="1"/>
    <xf numFmtId="4" fontId="1" fillId="18" borderId="0" xfId="0" applyNumberFormat="1" applyFont="1" applyFill="1" applyBorder="1"/>
    <xf numFmtId="4" fontId="1" fillId="18" borderId="14" xfId="0" applyNumberFormat="1" applyFont="1" applyFill="1" applyBorder="1"/>
    <xf numFmtId="3" fontId="1" fillId="18" borderId="0" xfId="0" applyNumberFormat="1" applyFont="1" applyFill="1" applyBorder="1"/>
    <xf numFmtId="0" fontId="1" fillId="18" borderId="0" xfId="0" applyNumberFormat="1" applyFont="1" applyFill="1" applyBorder="1"/>
    <xf numFmtId="4" fontId="30" fillId="0" borderId="0" xfId="0" applyNumberFormat="1" applyFont="1"/>
    <xf numFmtId="4" fontId="31" fillId="18" borderId="16" xfId="0" applyNumberFormat="1" applyFont="1" applyFill="1" applyBorder="1"/>
    <xf numFmtId="4" fontId="31" fillId="18" borderId="18" xfId="0" applyNumberFormat="1" applyFont="1" applyFill="1" applyBorder="1"/>
    <xf numFmtId="4" fontId="31" fillId="18" borderId="55" xfId="0" applyNumberFormat="1" applyFont="1" applyFill="1" applyBorder="1"/>
    <xf numFmtId="4" fontId="31" fillId="0" borderId="0" xfId="0" applyNumberFormat="1" applyFont="1"/>
    <xf numFmtId="3" fontId="31" fillId="18" borderId="18" xfId="0" applyNumberFormat="1" applyFont="1" applyFill="1" applyBorder="1"/>
    <xf numFmtId="0" fontId="0" fillId="0" borderId="0" xfId="0" applyAlignment="1">
      <alignment horizontal="center"/>
    </xf>
    <xf numFmtId="0" fontId="4" fillId="12" borderId="13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12" borderId="13" xfId="0" applyFont="1" applyFill="1" applyBorder="1" applyAlignment="1">
      <alignment horizontal="center"/>
    </xf>
    <xf numFmtId="3" fontId="4" fillId="0" borderId="13" xfId="0" applyNumberFormat="1" applyFont="1" applyBorder="1" applyAlignment="1">
      <alignment horizontal="center" vertical="center"/>
    </xf>
    <xf numFmtId="3" fontId="4" fillId="12" borderId="2" xfId="0" applyNumberFormat="1" applyFont="1" applyFill="1" applyBorder="1" applyAlignment="1">
      <alignment horizontal="center" vertical="center"/>
    </xf>
    <xf numFmtId="3" fontId="4" fillId="12" borderId="16" xfId="0" applyNumberFormat="1" applyFont="1" applyFill="1" applyBorder="1" applyAlignment="1">
      <alignment horizontal="center" vertical="center"/>
    </xf>
    <xf numFmtId="3" fontId="4" fillId="0" borderId="66" xfId="0" applyNumberFormat="1" applyFont="1" applyBorder="1" applyAlignment="1">
      <alignment horizontal="center"/>
    </xf>
    <xf numFmtId="3" fontId="4" fillId="0" borderId="67" xfId="0" applyNumberFormat="1" applyFont="1" applyBorder="1" applyAlignment="1">
      <alignment horizontal="center"/>
    </xf>
    <xf numFmtId="3" fontId="4" fillId="24" borderId="16" xfId="0" applyNumberFormat="1" applyFont="1" applyFill="1" applyBorder="1" applyAlignment="1">
      <alignment horizontal="center" vertical="center"/>
    </xf>
    <xf numFmtId="3" fontId="4" fillId="24" borderId="1" xfId="0" applyNumberFormat="1" applyFont="1" applyFill="1" applyBorder="1" applyAlignment="1">
      <alignment horizontal="center" vertical="center"/>
    </xf>
    <xf numFmtId="3" fontId="4" fillId="24" borderId="13" xfId="0" applyNumberFormat="1" applyFont="1" applyFill="1" applyBorder="1" applyAlignment="1">
      <alignment horizontal="center"/>
    </xf>
    <xf numFmtId="3" fontId="29" fillId="0" borderId="62" xfId="0" applyNumberFormat="1" applyFont="1" applyBorder="1"/>
    <xf numFmtId="49" fontId="23" fillId="0" borderId="14" xfId="0" applyNumberFormat="1" applyFont="1" applyFill="1" applyBorder="1" applyAlignment="1">
      <alignment horizontal="center"/>
    </xf>
    <xf numFmtId="3" fontId="4" fillId="0" borderId="13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4" fillId="8" borderId="26" xfId="0" applyNumberFormat="1" applyFont="1" applyFill="1" applyBorder="1" applyAlignment="1">
      <alignment horizontal="center" vertical="center"/>
    </xf>
    <xf numFmtId="3" fontId="13" fillId="8" borderId="2" xfId="0" applyNumberFormat="1" applyFont="1" applyFill="1" applyBorder="1" applyAlignment="1">
      <alignment horizontal="center" vertical="center"/>
    </xf>
    <xf numFmtId="3" fontId="4" fillId="3" borderId="2" xfId="0" applyNumberFormat="1" applyFont="1" applyFill="1" applyBorder="1" applyAlignment="1">
      <alignment horizontal="right" vertical="center"/>
    </xf>
    <xf numFmtId="3" fontId="4" fillId="0" borderId="8" xfId="0" applyNumberFormat="1" applyFont="1" applyBorder="1" applyAlignment="1">
      <alignment horizontal="center" vertical="center"/>
    </xf>
    <xf numFmtId="3" fontId="0" fillId="0" borderId="0" xfId="0" applyNumberFormat="1"/>
    <xf numFmtId="3" fontId="0" fillId="0" borderId="0" xfId="0" applyNumberFormat="1" applyAlignment="1">
      <alignment horizontal="right"/>
    </xf>
    <xf numFmtId="3" fontId="0" fillId="0" borderId="1" xfId="0" applyNumberFormat="1" applyBorder="1" applyAlignment="1">
      <alignment horizontal="right"/>
    </xf>
    <xf numFmtId="3" fontId="0" fillId="0" borderId="1" xfId="0" applyNumberFormat="1" applyBorder="1" applyAlignment="1">
      <alignment horizontal="center"/>
    </xf>
    <xf numFmtId="3" fontId="0" fillId="0" borderId="1" xfId="0" applyNumberFormat="1" applyBorder="1"/>
    <xf numFmtId="3" fontId="0" fillId="11" borderId="1" xfId="0" applyNumberFormat="1" applyFill="1" applyBorder="1"/>
    <xf numFmtId="3" fontId="32" fillId="0" borderId="0" xfId="0" applyNumberFormat="1" applyFont="1"/>
    <xf numFmtId="3" fontId="0" fillId="0" borderId="1" xfId="0" applyNumberFormat="1" applyBorder="1" applyAlignment="1"/>
    <xf numFmtId="3" fontId="5" fillId="0" borderId="0" xfId="0" applyNumberFormat="1" applyFont="1" applyBorder="1" applyAlignment="1">
      <alignment horizontal="center"/>
    </xf>
    <xf numFmtId="3" fontId="5" fillId="0" borderId="0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23" borderId="1" xfId="0" applyFont="1" applyFill="1" applyBorder="1" applyAlignment="1">
      <alignment horizontal="center"/>
    </xf>
    <xf numFmtId="3" fontId="3" fillId="0" borderId="0" xfId="0" applyNumberFormat="1" applyFont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23" borderId="1" xfId="0" applyNumberFormat="1" applyFont="1" applyFill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3" fontId="34" fillId="0" borderId="0" xfId="0" applyNumberFormat="1" applyFont="1" applyAlignment="1">
      <alignment horizontal="center"/>
    </xf>
    <xf numFmtId="3" fontId="3" fillId="0" borderId="1" xfId="0" applyNumberFormat="1" applyFont="1" applyBorder="1" applyAlignment="1">
      <alignment horizontal="center" wrapText="1"/>
    </xf>
    <xf numFmtId="3" fontId="2" fillId="0" borderId="0" xfId="0" applyNumberFormat="1" applyFont="1" applyAlignment="1">
      <alignment horizontal="center"/>
    </xf>
    <xf numFmtId="3" fontId="5" fillId="0" borderId="0" xfId="0" applyNumberFormat="1" applyFont="1" applyAlignment="1">
      <alignment horizontal="center" vertical="center"/>
    </xf>
    <xf numFmtId="3" fontId="5" fillId="11" borderId="1" xfId="0" applyNumberFormat="1" applyFont="1" applyFill="1" applyBorder="1" applyAlignment="1">
      <alignment horizontal="center" vertical="center"/>
    </xf>
    <xf numFmtId="3" fontId="5" fillId="12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Border="1" applyAlignment="1">
      <alignment horizontal="right" vertical="center"/>
    </xf>
    <xf numFmtId="3" fontId="5" fillId="0" borderId="1" xfId="0" applyNumberFormat="1" applyFont="1" applyBorder="1" applyAlignment="1">
      <alignment horizontal="center" vertical="center"/>
    </xf>
    <xf numFmtId="3" fontId="5" fillId="4" borderId="1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/>
    </xf>
    <xf numFmtId="3" fontId="5" fillId="11" borderId="1" xfId="0" applyNumberFormat="1" applyFont="1" applyFill="1" applyBorder="1" applyAlignment="1">
      <alignment horizontal="right" vertical="center"/>
    </xf>
    <xf numFmtId="3" fontId="5" fillId="4" borderId="4" xfId="0" applyNumberFormat="1" applyFont="1" applyFill="1" applyBorder="1" applyAlignment="1">
      <alignment horizontal="center" vertical="center"/>
    </xf>
    <xf numFmtId="3" fontId="5" fillId="2" borderId="9" xfId="0" applyNumberFormat="1" applyFont="1" applyFill="1" applyBorder="1" applyAlignment="1">
      <alignment horizontal="center" vertical="center"/>
    </xf>
    <xf numFmtId="3" fontId="5" fillId="2" borderId="0" xfId="0" applyNumberFormat="1" applyFont="1" applyFill="1" applyAlignment="1">
      <alignment horizontal="center" vertical="center"/>
    </xf>
    <xf numFmtId="3" fontId="5" fillId="0" borderId="0" xfId="0" applyNumberFormat="1" applyFont="1" applyFill="1" applyAlignment="1">
      <alignment horizontal="center" vertical="center"/>
    </xf>
    <xf numFmtId="3" fontId="35" fillId="11" borderId="1" xfId="0" applyNumberFormat="1" applyFont="1" applyFill="1" applyBorder="1" applyAlignment="1">
      <alignment horizontal="right"/>
    </xf>
    <xf numFmtId="3" fontId="5" fillId="0" borderId="1" xfId="0" applyNumberFormat="1" applyFont="1" applyFill="1" applyBorder="1" applyAlignment="1">
      <alignment horizontal="center" vertical="center"/>
    </xf>
    <xf numFmtId="2" fontId="3" fillId="23" borderId="1" xfId="0" applyNumberFormat="1" applyFont="1" applyFill="1" applyBorder="1" applyAlignment="1">
      <alignment horizontal="center"/>
    </xf>
    <xf numFmtId="3" fontId="5" fillId="23" borderId="1" xfId="0" applyNumberFormat="1" applyFont="1" applyFill="1" applyBorder="1" applyAlignment="1">
      <alignment horizontal="center" vertical="center"/>
    </xf>
    <xf numFmtId="3" fontId="5" fillId="23" borderId="0" xfId="0" applyNumberFormat="1" applyFont="1" applyFill="1" applyAlignment="1">
      <alignment horizontal="center" vertical="center"/>
    </xf>
    <xf numFmtId="3" fontId="3" fillId="0" borderId="2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3" fontId="3" fillId="0" borderId="2" xfId="0" applyNumberFormat="1" applyFont="1" applyBorder="1" applyAlignment="1">
      <alignment vertical="center"/>
    </xf>
    <xf numFmtId="3" fontId="2" fillId="0" borderId="2" xfId="0" applyNumberFormat="1" applyFont="1" applyBorder="1" applyAlignment="1">
      <alignment vertical="center"/>
    </xf>
    <xf numFmtId="3" fontId="3" fillId="0" borderId="15" xfId="0" applyNumberFormat="1" applyFont="1" applyBorder="1" applyAlignment="1">
      <alignment vertical="center"/>
    </xf>
    <xf numFmtId="3" fontId="2" fillId="0" borderId="15" xfId="0" applyNumberFormat="1" applyFont="1" applyBorder="1" applyAlignment="1">
      <alignment vertical="center"/>
    </xf>
    <xf numFmtId="3" fontId="3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 wrapText="1"/>
    </xf>
    <xf numFmtId="3" fontId="3" fillId="23" borderId="5" xfId="0" applyNumberFormat="1" applyFont="1" applyFill="1" applyBorder="1" applyAlignment="1">
      <alignment horizontal="center"/>
    </xf>
    <xf numFmtId="3" fontId="2" fillId="23" borderId="7" xfId="0" applyNumberFormat="1" applyFont="1" applyFill="1" applyBorder="1" applyAlignment="1">
      <alignment horizontal="center"/>
    </xf>
    <xf numFmtId="3" fontId="3" fillId="12" borderId="0" xfId="0" applyNumberFormat="1" applyFont="1" applyFill="1" applyBorder="1" applyAlignment="1">
      <alignment horizontal="center"/>
    </xf>
    <xf numFmtId="3" fontId="3" fillId="12" borderId="0" xfId="0" applyNumberFormat="1" applyFont="1" applyFill="1" applyAlignment="1">
      <alignment horizontal="center"/>
    </xf>
    <xf numFmtId="3" fontId="3" fillId="12" borderId="0" xfId="0" applyNumberFormat="1" applyFont="1" applyFill="1" applyBorder="1" applyAlignment="1">
      <alignment horizontal="center" vertical="center"/>
    </xf>
    <xf numFmtId="3" fontId="3" fillId="16" borderId="0" xfId="0" applyNumberFormat="1" applyFont="1" applyFill="1" applyAlignment="1">
      <alignment horizontal="center"/>
    </xf>
    <xf numFmtId="3" fontId="3" fillId="0" borderId="0" xfId="0" applyNumberFormat="1" applyFont="1" applyAlignment="1"/>
    <xf numFmtId="3" fontId="3" fillId="0" borderId="2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3" fontId="3" fillId="0" borderId="21" xfId="0" applyNumberFormat="1" applyFont="1" applyBorder="1" applyAlignment="1">
      <alignment horizontal="center"/>
    </xf>
    <xf numFmtId="3" fontId="3" fillId="0" borderId="22" xfId="0" applyNumberFormat="1" applyFont="1" applyBorder="1" applyAlignment="1">
      <alignment horizontal="center"/>
    </xf>
    <xf numFmtId="3" fontId="3" fillId="0" borderId="23" xfId="0" applyNumberFormat="1" applyFont="1" applyBorder="1" applyAlignment="1">
      <alignment horizontal="center"/>
    </xf>
    <xf numFmtId="3" fontId="3" fillId="0" borderId="10" xfId="0" applyNumberFormat="1" applyFont="1" applyBorder="1" applyAlignment="1">
      <alignment horizontal="center"/>
    </xf>
    <xf numFmtId="3" fontId="3" fillId="0" borderId="25" xfId="0" applyNumberFormat="1" applyFont="1" applyBorder="1" applyAlignment="1">
      <alignment horizontal="center"/>
    </xf>
    <xf numFmtId="0" fontId="3" fillId="26" borderId="1" xfId="0" applyFont="1" applyFill="1" applyBorder="1" applyAlignment="1">
      <alignment horizontal="center"/>
    </xf>
    <xf numFmtId="2" fontId="3" fillId="26" borderId="1" xfId="0" applyNumberFormat="1" applyFont="1" applyFill="1" applyBorder="1" applyAlignment="1">
      <alignment horizontal="center"/>
    </xf>
    <xf numFmtId="166" fontId="3" fillId="0" borderId="13" xfId="0" applyNumberFormat="1" applyFont="1" applyBorder="1" applyAlignment="1">
      <alignment horizontal="center"/>
    </xf>
    <xf numFmtId="3" fontId="3" fillId="0" borderId="22" xfId="0" applyNumberFormat="1" applyFont="1" applyBorder="1" applyAlignment="1">
      <alignment horizontal="center" vertical="center"/>
    </xf>
    <xf numFmtId="3" fontId="3" fillId="0" borderId="26" xfId="0" applyNumberFormat="1" applyFont="1" applyBorder="1" applyAlignment="1">
      <alignment horizontal="center" vertical="center"/>
    </xf>
    <xf numFmtId="3" fontId="5" fillId="0" borderId="0" xfId="0" applyNumberFormat="1" applyFont="1" applyBorder="1" applyAlignment="1">
      <alignment horizontal="center"/>
    </xf>
    <xf numFmtId="3" fontId="3" fillId="0" borderId="0" xfId="0" applyNumberFormat="1" applyFont="1" applyAlignment="1">
      <alignment horizontal="center"/>
    </xf>
    <xf numFmtId="3" fontId="37" fillId="0" borderId="0" xfId="1" applyNumberFormat="1" applyFont="1" applyAlignment="1" applyProtection="1">
      <alignment horizontal="center" vertical="center"/>
    </xf>
    <xf numFmtId="0" fontId="40" fillId="0" borderId="0" xfId="0" applyFont="1" applyAlignment="1">
      <alignment horizontal="center"/>
    </xf>
    <xf numFmtId="3" fontId="39" fillId="0" borderId="0" xfId="1" applyNumberFormat="1" applyFont="1" applyAlignment="1" applyProtection="1">
      <alignment horizontal="center" vertical="center"/>
    </xf>
    <xf numFmtId="3" fontId="37" fillId="0" borderId="0" xfId="1" applyNumberFormat="1" applyFont="1" applyAlignment="1" applyProtection="1">
      <alignment horizontal="center"/>
    </xf>
    <xf numFmtId="4" fontId="3" fillId="0" borderId="0" xfId="0" applyNumberFormat="1" applyFont="1"/>
    <xf numFmtId="4" fontId="3" fillId="0" borderId="20" xfId="0" applyNumberFormat="1" applyFont="1" applyBorder="1"/>
    <xf numFmtId="4" fontId="3" fillId="0" borderId="11" xfId="0" applyNumberFormat="1" applyFont="1" applyBorder="1"/>
    <xf numFmtId="4" fontId="3" fillId="0" borderId="21" xfId="0" applyNumberFormat="1" applyFont="1" applyBorder="1"/>
    <xf numFmtId="4" fontId="3" fillId="0" borderId="22" xfId="0" applyNumberFormat="1" applyFont="1" applyBorder="1"/>
    <xf numFmtId="4" fontId="3" fillId="0" borderId="0" xfId="0" applyNumberFormat="1" applyFont="1" applyBorder="1"/>
    <xf numFmtId="4" fontId="34" fillId="0" borderId="0" xfId="0" applyNumberFormat="1" applyFont="1" applyBorder="1" applyAlignment="1">
      <alignment horizontal="center"/>
    </xf>
    <xf numFmtId="4" fontId="3" fillId="0" borderId="23" xfId="0" applyNumberFormat="1" applyFont="1" applyBorder="1"/>
    <xf numFmtId="4" fontId="3" fillId="0" borderId="0" xfId="0" applyNumberFormat="1" applyFont="1" applyBorder="1" applyAlignment="1">
      <alignment horizontal="right"/>
    </xf>
    <xf numFmtId="4" fontId="3" fillId="0" borderId="0" xfId="0" applyNumberFormat="1" applyFont="1" applyBorder="1" applyAlignment="1">
      <alignment horizontal="center"/>
    </xf>
    <xf numFmtId="4" fontId="3" fillId="0" borderId="24" xfId="0" applyNumberFormat="1" applyFont="1" applyBorder="1"/>
    <xf numFmtId="4" fontId="3" fillId="0" borderId="10" xfId="0" applyNumberFormat="1" applyFont="1" applyBorder="1"/>
    <xf numFmtId="4" fontId="3" fillId="0" borderId="25" xfId="0" applyNumberFormat="1" applyFont="1" applyBorder="1"/>
    <xf numFmtId="4" fontId="34" fillId="0" borderId="0" xfId="0" applyNumberFormat="1" applyFont="1" applyAlignment="1">
      <alignment horizontal="center"/>
    </xf>
    <xf numFmtId="0" fontId="37" fillId="0" borderId="0" xfId="1" applyFont="1" applyAlignment="1" applyProtection="1"/>
    <xf numFmtId="0" fontId="37" fillId="0" borderId="0" xfId="1" applyFont="1" applyAlignment="1" applyProtection="1">
      <alignment horizontal="center"/>
    </xf>
    <xf numFmtId="167" fontId="42" fillId="30" borderId="83" xfId="0" applyNumberFormat="1" applyFont="1" applyFill="1" applyBorder="1" applyAlignment="1">
      <alignment horizontal="center" vertical="top" wrapText="1" readingOrder="2"/>
    </xf>
    <xf numFmtId="168" fontId="41" fillId="29" borderId="63" xfId="0" applyNumberFormat="1" applyFont="1" applyFill="1" applyBorder="1" applyAlignment="1">
      <alignment horizontal="center" readingOrder="2"/>
    </xf>
    <xf numFmtId="168" fontId="43" fillId="0" borderId="0" xfId="0" applyNumberFormat="1" applyFont="1" applyAlignment="1">
      <alignment horizontal="center" readingOrder="2"/>
    </xf>
    <xf numFmtId="167" fontId="42" fillId="0" borderId="0" xfId="0" applyNumberFormat="1" applyFont="1" applyAlignment="1">
      <alignment horizontal="center" vertical="center" readingOrder="2"/>
    </xf>
    <xf numFmtId="166" fontId="17" fillId="0" borderId="0" xfId="0" applyNumberFormat="1" applyFont="1" applyFill="1" applyBorder="1" applyAlignment="1">
      <alignment horizontal="center"/>
    </xf>
    <xf numFmtId="166" fontId="17" fillId="0" borderId="0" xfId="0" applyNumberFormat="1" applyFont="1" applyAlignment="1">
      <alignment horizontal="center"/>
    </xf>
    <xf numFmtId="166" fontId="17" fillId="0" borderId="0" xfId="0" applyNumberFormat="1" applyFont="1" applyAlignment="1">
      <alignment horizontal="center" wrapText="1"/>
    </xf>
    <xf numFmtId="166" fontId="26" fillId="0" borderId="0" xfId="0" applyNumberFormat="1" applyFont="1" applyAlignment="1">
      <alignment horizontal="center"/>
    </xf>
    <xf numFmtId="166" fontId="17" fillId="0" borderId="0" xfId="0" applyNumberFormat="1" applyFont="1" applyFill="1" applyBorder="1" applyAlignment="1">
      <alignment horizontal="center" wrapText="1"/>
    </xf>
    <xf numFmtId="166" fontId="17" fillId="0" borderId="15" xfId="0" applyNumberFormat="1" applyFont="1" applyFill="1" applyBorder="1" applyAlignment="1">
      <alignment horizontal="center"/>
    </xf>
    <xf numFmtId="168" fontId="41" fillId="0" borderId="13" xfId="0" applyNumberFormat="1" applyFont="1" applyBorder="1" applyAlignment="1">
      <alignment horizontal="center" readingOrder="2"/>
    </xf>
    <xf numFmtId="168" fontId="41" fillId="0" borderId="0" xfId="0" applyNumberFormat="1" applyFont="1" applyAlignment="1">
      <alignment readingOrder="2"/>
    </xf>
    <xf numFmtId="167" fontId="44" fillId="0" borderId="0" xfId="0" applyNumberFormat="1" applyFont="1" applyAlignment="1">
      <alignment readingOrder="2"/>
    </xf>
    <xf numFmtId="167" fontId="41" fillId="0" borderId="0" xfId="0" applyNumberFormat="1" applyFont="1"/>
    <xf numFmtId="167" fontId="41" fillId="0" borderId="0" xfId="0" applyNumberFormat="1" applyFont="1" applyAlignment="1">
      <alignment readingOrder="2"/>
    </xf>
    <xf numFmtId="167" fontId="45" fillId="0" borderId="0" xfId="0" applyNumberFormat="1" applyFont="1" applyAlignment="1">
      <alignment horizontal="justify" readingOrder="2"/>
    </xf>
    <xf numFmtId="167" fontId="42" fillId="0" borderId="0" xfId="0" applyNumberFormat="1" applyFont="1" applyAlignment="1">
      <alignment horizontal="justify" readingOrder="2"/>
    </xf>
    <xf numFmtId="168" fontId="41" fillId="31" borderId="13" xfId="0" applyNumberFormat="1" applyFont="1" applyFill="1" applyBorder="1" applyAlignment="1">
      <alignment horizontal="center" readingOrder="2"/>
    </xf>
    <xf numFmtId="167" fontId="42" fillId="31" borderId="13" xfId="0" applyNumberFormat="1" applyFont="1" applyFill="1" applyBorder="1" applyAlignment="1">
      <alignment horizontal="right" vertical="center" wrapText="1" readingOrder="2"/>
    </xf>
    <xf numFmtId="167" fontId="3" fillId="0" borderId="0" xfId="0" applyNumberFormat="1" applyFont="1" applyAlignment="1">
      <alignment horizontal="justify" wrapText="1" readingOrder="2"/>
    </xf>
    <xf numFmtId="167" fontId="46" fillId="0" borderId="0" xfId="0" applyNumberFormat="1" applyFont="1" applyAlignment="1">
      <alignment horizontal="justify" readingOrder="2"/>
    </xf>
    <xf numFmtId="167" fontId="42" fillId="31" borderId="13" xfId="0" applyNumberFormat="1" applyFont="1" applyFill="1" applyBorder="1" applyAlignment="1">
      <alignment horizontal="center" vertical="center" wrapText="1" readingOrder="2"/>
    </xf>
    <xf numFmtId="168" fontId="3" fillId="0" borderId="13" xfId="0" applyNumberFormat="1" applyFont="1" applyBorder="1" applyAlignment="1">
      <alignment horizontal="center" readingOrder="2"/>
    </xf>
    <xf numFmtId="167" fontId="42" fillId="0" borderId="84" xfId="0" applyNumberFormat="1" applyFont="1" applyBorder="1" applyAlignment="1">
      <alignment horizontal="center" vertical="center" wrapText="1" readingOrder="2"/>
    </xf>
    <xf numFmtId="167" fontId="42" fillId="0" borderId="85" xfId="0" applyNumberFormat="1" applyFont="1" applyBorder="1" applyAlignment="1">
      <alignment horizontal="center" vertical="center" wrapText="1" readingOrder="2"/>
    </xf>
    <xf numFmtId="168" fontId="41" fillId="29" borderId="13" xfId="0" applyNumberFormat="1" applyFont="1" applyFill="1" applyBorder="1" applyAlignment="1">
      <alignment readingOrder="2"/>
    </xf>
    <xf numFmtId="167" fontId="42" fillId="30" borderId="86" xfId="0" applyNumberFormat="1" applyFont="1" applyFill="1" applyBorder="1" applyAlignment="1">
      <alignment horizontal="center" vertical="center" wrapText="1" readingOrder="2"/>
    </xf>
    <xf numFmtId="167" fontId="44" fillId="0" borderId="13" xfId="0" applyNumberFormat="1" applyFont="1" applyBorder="1" applyAlignment="1">
      <alignment readingOrder="2"/>
    </xf>
    <xf numFmtId="167" fontId="3" fillId="0" borderId="13" xfId="0" applyNumberFormat="1" applyFont="1" applyBorder="1" applyAlignment="1">
      <alignment readingOrder="2"/>
    </xf>
    <xf numFmtId="3" fontId="17" fillId="0" borderId="0" xfId="0" applyNumberFormat="1" applyFont="1" applyFill="1" applyBorder="1" applyAlignment="1">
      <alignment horizontal="center"/>
    </xf>
    <xf numFmtId="3" fontId="17" fillId="0" borderId="15" xfId="0" applyNumberFormat="1" applyFont="1" applyFill="1" applyBorder="1" applyAlignment="1">
      <alignment horizontal="center"/>
    </xf>
    <xf numFmtId="3" fontId="5" fillId="0" borderId="0" xfId="0" applyNumberFormat="1" applyFont="1" applyBorder="1" applyAlignment="1">
      <alignment horizontal="center"/>
    </xf>
    <xf numFmtId="3" fontId="5" fillId="11" borderId="13" xfId="0" applyNumberFormat="1" applyFont="1" applyFill="1" applyBorder="1" applyAlignment="1">
      <alignment horizontal="center" vertical="center"/>
    </xf>
    <xf numFmtId="3" fontId="11" fillId="0" borderId="0" xfId="0" applyNumberFormat="1" applyFont="1" applyAlignment="1">
      <alignment horizontal="center" vertical="center"/>
    </xf>
    <xf numFmtId="3" fontId="47" fillId="0" borderId="0" xfId="1" applyNumberFormat="1" applyFont="1" applyAlignment="1" applyProtection="1">
      <alignment horizontal="center" vertical="center"/>
    </xf>
    <xf numFmtId="3" fontId="5" fillId="33" borderId="1" xfId="0" applyNumberFormat="1" applyFont="1" applyFill="1" applyBorder="1" applyAlignment="1">
      <alignment horizontal="center" vertical="center"/>
    </xf>
    <xf numFmtId="3" fontId="5" fillId="33" borderId="13" xfId="0" applyNumberFormat="1" applyFont="1" applyFill="1" applyBorder="1" applyAlignment="1">
      <alignment horizontal="center" vertical="center"/>
    </xf>
    <xf numFmtId="3" fontId="5" fillId="33" borderId="1" xfId="0" applyNumberFormat="1" applyFont="1" applyFill="1" applyBorder="1" applyAlignment="1">
      <alignment horizontal="right" vertical="center"/>
    </xf>
    <xf numFmtId="0" fontId="48" fillId="12" borderId="0" xfId="0" applyFont="1" applyFill="1" applyAlignment="1"/>
    <xf numFmtId="3" fontId="5" fillId="0" borderId="0" xfId="0" applyNumberFormat="1" applyFont="1" applyBorder="1" applyAlignment="1">
      <alignment horizontal="center"/>
    </xf>
    <xf numFmtId="0" fontId="11" fillId="0" borderId="13" xfId="0" applyFont="1" applyBorder="1" applyAlignment="1">
      <alignment horizontal="right" vertical="center" wrapText="1"/>
    </xf>
    <xf numFmtId="0" fontId="4" fillId="16" borderId="13" xfId="0" applyFont="1" applyFill="1" applyBorder="1" applyAlignment="1">
      <alignment horizontal="center" vertical="center"/>
    </xf>
    <xf numFmtId="0" fontId="11" fillId="5" borderId="13" xfId="0" applyFont="1" applyFill="1" applyBorder="1" applyAlignment="1">
      <alignment horizontal="right" vertical="center"/>
    </xf>
    <xf numFmtId="0" fontId="11" fillId="3" borderId="13" xfId="0" applyFont="1" applyFill="1" applyBorder="1" applyAlignment="1">
      <alignment horizontal="right" vertical="center"/>
    </xf>
    <xf numFmtId="3" fontId="10" fillId="14" borderId="13" xfId="0" applyNumberFormat="1" applyFont="1" applyFill="1" applyBorder="1" applyAlignment="1">
      <alignment horizontal="center" vertical="center"/>
    </xf>
    <xf numFmtId="0" fontId="11" fillId="14" borderId="13" xfId="0" applyFont="1" applyFill="1" applyBorder="1" applyAlignment="1">
      <alignment horizontal="right" vertical="center"/>
    </xf>
    <xf numFmtId="3" fontId="10" fillId="12" borderId="13" xfId="0" applyNumberFormat="1" applyFont="1" applyFill="1" applyBorder="1" applyAlignment="1">
      <alignment horizontal="center" vertical="center"/>
    </xf>
    <xf numFmtId="3" fontId="5" fillId="11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0" fontId="12" fillId="12" borderId="29" xfId="0" applyFont="1" applyFill="1" applyBorder="1" applyAlignment="1">
      <alignment horizontal="center"/>
    </xf>
    <xf numFmtId="0" fontId="12" fillId="12" borderId="13" xfId="0" applyFont="1" applyFill="1" applyBorder="1" applyAlignment="1">
      <alignment horizontal="center"/>
    </xf>
    <xf numFmtId="0" fontId="49" fillId="14" borderId="29" xfId="1" applyFont="1" applyFill="1" applyBorder="1" applyAlignment="1" applyProtection="1">
      <alignment horizontal="center"/>
    </xf>
    <xf numFmtId="0" fontId="49" fillId="12" borderId="29" xfId="1" applyFont="1" applyFill="1" applyBorder="1" applyAlignment="1" applyProtection="1">
      <alignment horizontal="center"/>
    </xf>
    <xf numFmtId="0" fontId="49" fillId="29" borderId="29" xfId="1" applyFont="1" applyFill="1" applyBorder="1" applyAlignment="1" applyProtection="1">
      <alignment horizontal="center"/>
    </xf>
    <xf numFmtId="0" fontId="49" fillId="26" borderId="29" xfId="1" applyFont="1" applyFill="1" applyBorder="1" applyAlignment="1" applyProtection="1">
      <alignment horizontal="center"/>
    </xf>
    <xf numFmtId="0" fontId="49" fillId="34" borderId="29" xfId="1" applyFont="1" applyFill="1" applyBorder="1" applyAlignment="1" applyProtection="1">
      <alignment horizontal="center"/>
    </xf>
    <xf numFmtId="3" fontId="22" fillId="22" borderId="1" xfId="0" applyNumberFormat="1" applyFont="1" applyFill="1" applyBorder="1" applyAlignment="1">
      <alignment horizontal="center" vertical="center"/>
    </xf>
    <xf numFmtId="3" fontId="22" fillId="8" borderId="1" xfId="0" applyNumberFormat="1" applyFont="1" applyFill="1" applyBorder="1" applyAlignment="1">
      <alignment horizontal="center" vertical="center"/>
    </xf>
    <xf numFmtId="3" fontId="22" fillId="7" borderId="1" xfId="0" applyNumberFormat="1" applyFont="1" applyFill="1" applyBorder="1" applyAlignment="1">
      <alignment horizontal="center" vertical="center"/>
    </xf>
    <xf numFmtId="3" fontId="22" fillId="0" borderId="1" xfId="0" applyNumberFormat="1" applyFont="1" applyBorder="1" applyAlignment="1">
      <alignment horizontal="center" vertical="center"/>
    </xf>
    <xf numFmtId="3" fontId="22" fillId="4" borderId="1" xfId="0" applyNumberFormat="1" applyFont="1" applyFill="1" applyBorder="1" applyAlignment="1">
      <alignment horizontal="center" vertical="center"/>
    </xf>
    <xf numFmtId="3" fontId="22" fillId="16" borderId="1" xfId="0" applyNumberFormat="1" applyFont="1" applyFill="1" applyBorder="1" applyAlignment="1">
      <alignment horizontal="center" vertical="center"/>
    </xf>
    <xf numFmtId="3" fontId="22" fillId="6" borderId="1" xfId="0" applyNumberFormat="1" applyFont="1" applyFill="1" applyBorder="1" applyAlignment="1">
      <alignment horizontal="center" vertical="center"/>
    </xf>
    <xf numFmtId="3" fontId="22" fillId="0" borderId="1" xfId="0" applyNumberFormat="1" applyFont="1" applyFill="1" applyBorder="1" applyAlignment="1">
      <alignment horizontal="center" vertical="center"/>
    </xf>
    <xf numFmtId="3" fontId="22" fillId="8" borderId="2" xfId="0" applyNumberFormat="1" applyFont="1" applyFill="1" applyBorder="1" applyAlignment="1">
      <alignment horizontal="center" vertical="center"/>
    </xf>
    <xf numFmtId="3" fontId="22" fillId="7" borderId="2" xfId="0" applyNumberFormat="1" applyFont="1" applyFill="1" applyBorder="1" applyAlignment="1">
      <alignment horizontal="center" vertical="center"/>
    </xf>
    <xf numFmtId="3" fontId="22" fillId="0" borderId="2" xfId="0" applyNumberFormat="1" applyFont="1" applyFill="1" applyBorder="1" applyAlignment="1">
      <alignment horizontal="center" vertical="center"/>
    </xf>
    <xf numFmtId="3" fontId="22" fillId="6" borderId="2" xfId="0" applyNumberFormat="1" applyFont="1" applyFill="1" applyBorder="1" applyAlignment="1">
      <alignment horizontal="center" vertical="center"/>
    </xf>
    <xf numFmtId="3" fontId="22" fillId="0" borderId="2" xfId="0" applyNumberFormat="1" applyFont="1" applyBorder="1" applyAlignment="1">
      <alignment horizontal="center" vertical="center"/>
    </xf>
    <xf numFmtId="3" fontId="22" fillId="22" borderId="4" xfId="0" applyNumberFormat="1" applyFont="1" applyFill="1" applyBorder="1" applyAlignment="1">
      <alignment horizontal="center" vertical="center"/>
    </xf>
    <xf numFmtId="3" fontId="22" fillId="8" borderId="4" xfId="0" applyNumberFormat="1" applyFont="1" applyFill="1" applyBorder="1" applyAlignment="1">
      <alignment horizontal="center" vertical="center"/>
    </xf>
    <xf numFmtId="3" fontId="22" fillId="7" borderId="4" xfId="0" applyNumberFormat="1" applyFont="1" applyFill="1" applyBorder="1" applyAlignment="1">
      <alignment horizontal="center" vertical="center"/>
    </xf>
    <xf numFmtId="3" fontId="22" fillId="0" borderId="4" xfId="0" applyNumberFormat="1" applyFont="1" applyBorder="1" applyAlignment="1">
      <alignment horizontal="center" vertical="center"/>
    </xf>
    <xf numFmtId="3" fontId="22" fillId="0" borderId="4" xfId="0" applyNumberFormat="1" applyFont="1" applyFill="1" applyBorder="1" applyAlignment="1">
      <alignment horizontal="center" vertical="center"/>
    </xf>
    <xf numFmtId="3" fontId="22" fillId="6" borderId="4" xfId="0" applyNumberFormat="1" applyFont="1" applyFill="1" applyBorder="1" applyAlignment="1">
      <alignment horizontal="center" vertical="center"/>
    </xf>
    <xf numFmtId="3" fontId="5" fillId="26" borderId="13" xfId="0" applyNumberFormat="1" applyFont="1" applyFill="1" applyBorder="1" applyAlignment="1">
      <alignment horizontal="center" vertical="center"/>
    </xf>
    <xf numFmtId="3" fontId="5" fillId="13" borderId="1" xfId="0" applyNumberFormat="1" applyFont="1" applyFill="1" applyBorder="1" applyAlignment="1">
      <alignment horizontal="center"/>
    </xf>
    <xf numFmtId="3" fontId="5" fillId="16" borderId="1" xfId="0" applyNumberFormat="1" applyFont="1" applyFill="1" applyBorder="1" applyAlignment="1">
      <alignment horizontal="center"/>
    </xf>
    <xf numFmtId="3" fontId="5" fillId="12" borderId="1" xfId="0" applyNumberFormat="1" applyFont="1" applyFill="1" applyBorder="1" applyAlignment="1">
      <alignment horizontal="center"/>
    </xf>
    <xf numFmtId="3" fontId="22" fillId="0" borderId="1" xfId="0" applyNumberFormat="1" applyFont="1" applyFill="1" applyBorder="1" applyAlignment="1">
      <alignment horizontal="center"/>
    </xf>
    <xf numFmtId="3" fontId="5" fillId="13" borderId="1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Alignment="1">
      <alignment horizontal="center"/>
    </xf>
    <xf numFmtId="3" fontId="5" fillId="0" borderId="0" xfId="0" applyNumberFormat="1" applyFont="1" applyAlignment="1">
      <alignment horizontal="right"/>
    </xf>
    <xf numFmtId="3" fontId="5" fillId="0" borderId="18" xfId="0" applyNumberFormat="1" applyFont="1" applyBorder="1" applyAlignment="1">
      <alignment horizontal="center"/>
    </xf>
    <xf numFmtId="3" fontId="54" fillId="0" borderId="0" xfId="0" applyNumberFormat="1" applyFont="1" applyBorder="1" applyAlignment="1">
      <alignment horizontal="center"/>
    </xf>
    <xf numFmtId="3" fontId="5" fillId="0" borderId="8" xfId="0" applyNumberFormat="1" applyFont="1" applyBorder="1" applyAlignment="1">
      <alignment horizontal="right"/>
    </xf>
    <xf numFmtId="3" fontId="5" fillId="0" borderId="8" xfId="0" applyNumberFormat="1" applyFont="1" applyBorder="1" applyAlignment="1">
      <alignment horizontal="center"/>
    </xf>
    <xf numFmtId="3" fontId="5" fillId="0" borderId="55" xfId="0" applyNumberFormat="1" applyFont="1" applyBorder="1" applyAlignment="1">
      <alignment horizontal="center"/>
    </xf>
    <xf numFmtId="3" fontId="5" fillId="0" borderId="57" xfId="0" applyNumberFormat="1" applyFont="1" applyBorder="1" applyAlignment="1">
      <alignment horizontal="right"/>
    </xf>
    <xf numFmtId="3" fontId="11" fillId="0" borderId="8" xfId="0" applyNumberFormat="1" applyFont="1" applyBorder="1" applyAlignment="1">
      <alignment horizontal="right"/>
    </xf>
    <xf numFmtId="3" fontId="11" fillId="0" borderId="8" xfId="0" applyNumberFormat="1" applyFont="1" applyBorder="1" applyAlignment="1">
      <alignment horizontal="center"/>
    </xf>
    <xf numFmtId="0" fontId="3" fillId="0" borderId="13" xfId="0" applyFont="1" applyBorder="1" applyAlignment="1">
      <alignment horizontal="center" vertical="center" wrapText="1"/>
    </xf>
    <xf numFmtId="3" fontId="4" fillId="5" borderId="13" xfId="0" applyNumberFormat="1" applyFont="1" applyFill="1" applyBorder="1" applyAlignment="1">
      <alignment horizontal="right" vertical="center"/>
    </xf>
    <xf numFmtId="3" fontId="4" fillId="5" borderId="29" xfId="0" applyNumberFormat="1" applyFont="1" applyFill="1" applyBorder="1" applyAlignment="1">
      <alignment horizontal="center" vertical="center"/>
    </xf>
    <xf numFmtId="3" fontId="4" fillId="5" borderId="13" xfId="0" applyNumberFormat="1" applyFont="1" applyFill="1" applyBorder="1" applyAlignment="1">
      <alignment horizontal="center" vertical="center"/>
    </xf>
    <xf numFmtId="3" fontId="4" fillId="26" borderId="13" xfId="0" applyNumberFormat="1" applyFont="1" applyFill="1" applyBorder="1" applyAlignment="1">
      <alignment horizontal="center" vertical="center"/>
    </xf>
    <xf numFmtId="3" fontId="4" fillId="26" borderId="32" xfId="0" applyNumberFormat="1" applyFont="1" applyFill="1" applyBorder="1" applyAlignment="1">
      <alignment horizontal="center" vertical="center" wrapText="1"/>
    </xf>
    <xf numFmtId="3" fontId="0" fillId="37" borderId="1" xfId="0" applyNumberFormat="1" applyFill="1" applyBorder="1"/>
    <xf numFmtId="3" fontId="0" fillId="12" borderId="1" xfId="0" applyNumberFormat="1" applyFill="1" applyBorder="1"/>
    <xf numFmtId="3" fontId="5" fillId="14" borderId="1" xfId="0" applyNumberFormat="1" applyFont="1" applyFill="1" applyBorder="1" applyAlignment="1">
      <alignment horizontal="center" vertical="center"/>
    </xf>
    <xf numFmtId="3" fontId="5" fillId="33" borderId="5" xfId="0" applyNumberFormat="1" applyFont="1" applyFill="1" applyBorder="1" applyAlignment="1">
      <alignment horizontal="center" vertical="center"/>
    </xf>
    <xf numFmtId="3" fontId="5" fillId="14" borderId="13" xfId="0" applyNumberFormat="1" applyFont="1" applyFill="1" applyBorder="1" applyAlignment="1">
      <alignment horizontal="center" vertical="center"/>
    </xf>
    <xf numFmtId="3" fontId="5" fillId="14" borderId="27" xfId="0" applyNumberFormat="1" applyFont="1" applyFill="1" applyBorder="1" applyAlignment="1">
      <alignment horizontal="center" vertical="center"/>
    </xf>
    <xf numFmtId="3" fontId="5" fillId="14" borderId="24" xfId="0" applyNumberFormat="1" applyFont="1" applyFill="1" applyBorder="1" applyAlignment="1">
      <alignment horizontal="center" vertical="center"/>
    </xf>
    <xf numFmtId="4" fontId="4" fillId="0" borderId="0" xfId="0" applyNumberFormat="1" applyFont="1" applyBorder="1" applyAlignment="1">
      <alignment horizontal="center"/>
    </xf>
    <xf numFmtId="4" fontId="4" fillId="0" borderId="0" xfId="0" applyNumberFormat="1" applyFont="1" applyFill="1" applyBorder="1" applyAlignment="1">
      <alignment horizontal="center"/>
    </xf>
    <xf numFmtId="0" fontId="7" fillId="12" borderId="0" xfId="1" applyFill="1" applyAlignment="1" applyProtection="1"/>
    <xf numFmtId="0" fontId="49" fillId="3" borderId="13" xfId="1" applyFont="1" applyFill="1" applyBorder="1" applyAlignment="1" applyProtection="1">
      <alignment horizontal="center"/>
    </xf>
    <xf numFmtId="0" fontId="58" fillId="0" borderId="13" xfId="1" applyFont="1" applyBorder="1" applyAlignment="1" applyProtection="1">
      <alignment horizontal="center"/>
    </xf>
    <xf numFmtId="3" fontId="5" fillId="11" borderId="1" xfId="0" applyNumberFormat="1" applyFont="1" applyFill="1" applyBorder="1" applyAlignment="1">
      <alignment horizontal="center" vertical="center"/>
    </xf>
    <xf numFmtId="3" fontId="5" fillId="0" borderId="0" xfId="0" applyNumberFormat="1" applyFont="1" applyFill="1" applyBorder="1" applyAlignment="1">
      <alignment horizontal="center" vertical="center"/>
    </xf>
    <xf numFmtId="3" fontId="4" fillId="0" borderId="13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165" fontId="23" fillId="0" borderId="14" xfId="0" applyNumberFormat="1" applyFont="1" applyFill="1" applyBorder="1" applyAlignment="1">
      <alignment horizontal="center"/>
    </xf>
    <xf numFmtId="3" fontId="5" fillId="11" borderId="0" xfId="0" applyNumberFormat="1" applyFont="1" applyFill="1" applyBorder="1" applyAlignment="1">
      <alignment horizontal="center"/>
    </xf>
    <xf numFmtId="3" fontId="5" fillId="11" borderId="0" xfId="0" applyNumberFormat="1" applyFont="1" applyFill="1" applyBorder="1"/>
    <xf numFmtId="3" fontId="3" fillId="0" borderId="0" xfId="0" applyNumberFormat="1" applyFont="1" applyBorder="1"/>
    <xf numFmtId="3" fontId="3" fillId="0" borderId="0" xfId="0" applyNumberFormat="1" applyFont="1"/>
    <xf numFmtId="167" fontId="57" fillId="9" borderId="0" xfId="0" applyNumberFormat="1" applyFont="1" applyFill="1" applyAlignment="1">
      <alignment horizontal="right" readingOrder="2"/>
    </xf>
    <xf numFmtId="167" fontId="42" fillId="9" borderId="0" xfId="0" applyNumberFormat="1" applyFont="1" applyFill="1" applyAlignment="1">
      <alignment horizontal="right" vertical="center" readingOrder="2"/>
    </xf>
    <xf numFmtId="3" fontId="3" fillId="0" borderId="20" xfId="0" applyNumberFormat="1" applyFont="1" applyBorder="1"/>
    <xf numFmtId="3" fontId="3" fillId="0" borderId="11" xfId="0" applyNumberFormat="1" applyFont="1" applyBorder="1"/>
    <xf numFmtId="3" fontId="3" fillId="0" borderId="21" xfId="0" applyNumberFormat="1" applyFont="1" applyBorder="1"/>
    <xf numFmtId="3" fontId="3" fillId="0" borderId="22" xfId="0" applyNumberFormat="1" applyFont="1" applyBorder="1"/>
    <xf numFmtId="3" fontId="34" fillId="0" borderId="0" xfId="0" applyNumberFormat="1" applyFont="1" applyBorder="1"/>
    <xf numFmtId="3" fontId="34" fillId="0" borderId="0" xfId="0" applyNumberFormat="1" applyFont="1" applyBorder="1" applyAlignment="1">
      <alignment horizontal="center"/>
    </xf>
    <xf numFmtId="3" fontId="3" fillId="0" borderId="23" xfId="0" applyNumberFormat="1" applyFont="1" applyBorder="1"/>
    <xf numFmtId="3" fontId="3" fillId="0" borderId="0" xfId="0" applyNumberFormat="1" applyFont="1" applyBorder="1" applyAlignment="1">
      <alignment horizontal="right"/>
    </xf>
    <xf numFmtId="3" fontId="3" fillId="0" borderId="24" xfId="0" applyNumberFormat="1" applyFont="1" applyBorder="1"/>
    <xf numFmtId="3" fontId="3" fillId="0" borderId="10" xfId="0" applyNumberFormat="1" applyFont="1" applyBorder="1"/>
    <xf numFmtId="3" fontId="3" fillId="0" borderId="25" xfId="0" applyNumberFormat="1" applyFont="1" applyBorder="1"/>
    <xf numFmtId="3" fontId="3" fillId="0" borderId="74" xfId="0" applyNumberFormat="1" applyFont="1" applyBorder="1"/>
    <xf numFmtId="3" fontId="3" fillId="0" borderId="75" xfId="0" applyNumberFormat="1" applyFont="1" applyBorder="1"/>
    <xf numFmtId="3" fontId="3" fillId="24" borderId="76" xfId="0" applyNumberFormat="1" applyFont="1" applyFill="1" applyBorder="1"/>
    <xf numFmtId="3" fontId="3" fillId="0" borderId="77" xfId="0" applyNumberFormat="1" applyFont="1" applyBorder="1" applyAlignment="1">
      <alignment horizontal="center"/>
    </xf>
    <xf numFmtId="3" fontId="3" fillId="0" borderId="78" xfId="0" applyNumberFormat="1" applyFont="1" applyBorder="1"/>
    <xf numFmtId="3" fontId="3" fillId="0" borderId="79" xfId="0" applyNumberFormat="1" applyFont="1" applyBorder="1"/>
    <xf numFmtId="3" fontId="3" fillId="0" borderId="79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80" xfId="0" applyNumberFormat="1" applyFont="1" applyBorder="1" applyAlignment="1">
      <alignment horizontal="center"/>
    </xf>
    <xf numFmtId="3" fontId="3" fillId="0" borderId="81" xfId="0" applyNumberFormat="1" applyFont="1" applyBorder="1"/>
    <xf numFmtId="3" fontId="3" fillId="0" borderId="82" xfId="0" applyNumberFormat="1" applyFont="1" applyBorder="1"/>
    <xf numFmtId="3" fontId="3" fillId="5" borderId="13" xfId="0" applyNumberFormat="1" applyFont="1" applyFill="1" applyBorder="1"/>
    <xf numFmtId="3" fontId="3" fillId="5" borderId="0" xfId="0" applyNumberFormat="1" applyFont="1" applyFill="1"/>
    <xf numFmtId="3" fontId="3" fillId="0" borderId="1" xfId="0" applyNumberFormat="1" applyFont="1" applyBorder="1"/>
    <xf numFmtId="3" fontId="3" fillId="0" borderId="0" xfId="0" applyNumberFormat="1" applyFont="1" applyAlignment="1">
      <alignment wrapText="1"/>
    </xf>
    <xf numFmtId="3" fontId="3" fillId="16" borderId="0" xfId="0" applyNumberFormat="1" applyFont="1" applyFill="1"/>
    <xf numFmtId="3" fontId="3" fillId="24" borderId="0" xfId="0" applyNumberFormat="1" applyFont="1" applyFill="1"/>
    <xf numFmtId="0" fontId="49" fillId="12" borderId="13" xfId="1" applyFont="1" applyFill="1" applyBorder="1" applyAlignment="1" applyProtection="1">
      <alignment horizontal="center"/>
    </xf>
    <xf numFmtId="3" fontId="5" fillId="0" borderId="18" xfId="0" applyNumberFormat="1" applyFont="1" applyFill="1" applyBorder="1" applyAlignment="1">
      <alignment horizontal="center" vertical="center"/>
    </xf>
    <xf numFmtId="3" fontId="5" fillId="16" borderId="1" xfId="0" applyNumberFormat="1" applyFont="1" applyFill="1" applyBorder="1" applyAlignment="1">
      <alignment horizontal="center" vertical="center"/>
    </xf>
    <xf numFmtId="3" fontId="61" fillId="11" borderId="1" xfId="0" applyNumberFormat="1" applyFont="1" applyFill="1" applyBorder="1" applyAlignment="1">
      <alignment horizontal="center" vertical="center"/>
    </xf>
    <xf numFmtId="0" fontId="0" fillId="0" borderId="0" xfId="0" applyBorder="1"/>
    <xf numFmtId="3" fontId="3" fillId="0" borderId="0" xfId="0" applyNumberFormat="1" applyFont="1" applyAlignment="1">
      <alignment horizontal="center"/>
    </xf>
    <xf numFmtId="3" fontId="5" fillId="0" borderId="0" xfId="0" applyNumberFormat="1" applyFont="1" applyFill="1" applyBorder="1" applyAlignment="1">
      <alignment horizontal="center" vertical="center" textRotation="90"/>
    </xf>
    <xf numFmtId="0" fontId="0" fillId="0" borderId="0" xfId="0" applyFill="1" applyBorder="1"/>
    <xf numFmtId="3" fontId="22" fillId="0" borderId="1" xfId="0" applyNumberFormat="1" applyFont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3" fontId="4" fillId="0" borderId="13" xfId="0" applyNumberFormat="1" applyFont="1" applyBorder="1" applyAlignment="1">
      <alignment horizontal="center" vertical="center"/>
    </xf>
    <xf numFmtId="3" fontId="63" fillId="11" borderId="62" xfId="0" applyNumberFormat="1" applyFont="1" applyFill="1" applyBorder="1" applyAlignment="1">
      <alignment horizontal="center" vertical="center"/>
    </xf>
    <xf numFmtId="3" fontId="64" fillId="0" borderId="12" xfId="0" applyNumberFormat="1" applyFont="1" applyBorder="1" applyAlignment="1">
      <alignment horizontal="center"/>
    </xf>
    <xf numFmtId="166" fontId="17" fillId="11" borderId="23" xfId="0" applyNumberFormat="1" applyFont="1" applyFill="1" applyBorder="1" applyAlignment="1">
      <alignment horizontal="center"/>
    </xf>
    <xf numFmtId="166" fontId="17" fillId="11" borderId="22" xfId="0" applyNumberFormat="1" applyFont="1" applyFill="1" applyBorder="1" applyAlignment="1">
      <alignment horizontal="center"/>
    </xf>
    <xf numFmtId="166" fontId="17" fillId="11" borderId="0" xfId="0" applyNumberFormat="1" applyFont="1" applyFill="1" applyBorder="1" applyAlignment="1">
      <alignment horizontal="center"/>
    </xf>
    <xf numFmtId="166" fontId="18" fillId="11" borderId="0" xfId="0" applyNumberFormat="1" applyFont="1" applyFill="1" applyBorder="1" applyAlignment="1"/>
    <xf numFmtId="166" fontId="17" fillId="40" borderId="22" xfId="0" applyNumberFormat="1" applyFont="1" applyFill="1" applyBorder="1" applyAlignment="1">
      <alignment horizontal="center"/>
    </xf>
    <xf numFmtId="166" fontId="17" fillId="40" borderId="0" xfId="0" applyNumberFormat="1" applyFont="1" applyFill="1" applyBorder="1" applyAlignment="1">
      <alignment horizontal="center"/>
    </xf>
    <xf numFmtId="166" fontId="17" fillId="40" borderId="0" xfId="0" applyNumberFormat="1" applyFont="1" applyFill="1" applyBorder="1" applyAlignment="1"/>
    <xf numFmtId="166" fontId="17" fillId="40" borderId="23" xfId="0" applyNumberFormat="1" applyFont="1" applyFill="1" applyBorder="1" applyAlignment="1">
      <alignment horizontal="center"/>
    </xf>
    <xf numFmtId="166" fontId="17" fillId="40" borderId="10" xfId="0" applyNumberFormat="1" applyFont="1" applyFill="1" applyBorder="1" applyAlignment="1">
      <alignment horizontal="center" wrapText="1"/>
    </xf>
    <xf numFmtId="166" fontId="17" fillId="40" borderId="14" xfId="0" applyNumberFormat="1" applyFont="1" applyFill="1" applyBorder="1" applyAlignment="1">
      <alignment horizontal="center"/>
    </xf>
    <xf numFmtId="166" fontId="17" fillId="40" borderId="10" xfId="0" applyNumberFormat="1" applyFont="1" applyFill="1" applyBorder="1" applyAlignment="1">
      <alignment horizontal="center"/>
    </xf>
    <xf numFmtId="166" fontId="17" fillId="40" borderId="0" xfId="0" applyNumberFormat="1" applyFont="1" applyFill="1" applyBorder="1" applyAlignment="1">
      <alignment horizontal="center" wrapText="1"/>
    </xf>
    <xf numFmtId="166" fontId="27" fillId="40" borderId="0" xfId="1" applyNumberFormat="1" applyFont="1" applyFill="1" applyBorder="1" applyAlignment="1" applyProtection="1">
      <alignment horizontal="center"/>
    </xf>
    <xf numFmtId="166" fontId="17" fillId="40" borderId="0" xfId="0" applyNumberFormat="1" applyFont="1" applyFill="1" applyBorder="1" applyAlignment="1">
      <alignment horizontal="center" vertical="center"/>
    </xf>
    <xf numFmtId="166" fontId="18" fillId="40" borderId="0" xfId="0" applyNumberFormat="1" applyFont="1" applyFill="1" applyBorder="1" applyAlignment="1">
      <alignment horizontal="center" wrapText="1"/>
    </xf>
    <xf numFmtId="3" fontId="17" fillId="40" borderId="0" xfId="0" applyNumberFormat="1" applyFont="1" applyFill="1" applyBorder="1" applyAlignment="1">
      <alignment horizontal="center"/>
    </xf>
    <xf numFmtId="166" fontId="27" fillId="40" borderId="0" xfId="1" applyNumberFormat="1" applyFont="1" applyFill="1" applyBorder="1" applyAlignment="1" applyProtection="1">
      <alignment horizontal="right"/>
    </xf>
    <xf numFmtId="166" fontId="28" fillId="40" borderId="0" xfId="0" applyNumberFormat="1" applyFont="1" applyFill="1" applyBorder="1" applyAlignment="1">
      <alignment horizontal="right"/>
    </xf>
    <xf numFmtId="166" fontId="18" fillId="40" borderId="0" xfId="0" applyNumberFormat="1" applyFont="1" applyFill="1" applyBorder="1" applyAlignment="1">
      <alignment horizontal="right"/>
    </xf>
    <xf numFmtId="166" fontId="18" fillId="40" borderId="0" xfId="0" applyNumberFormat="1" applyFont="1" applyFill="1" applyBorder="1" applyAlignment="1">
      <alignment horizontal="center"/>
    </xf>
    <xf numFmtId="166" fontId="26" fillId="40" borderId="0" xfId="0" applyNumberFormat="1" applyFont="1" applyFill="1" applyBorder="1" applyAlignment="1">
      <alignment horizontal="center"/>
    </xf>
    <xf numFmtId="166" fontId="18" fillId="40" borderId="0" xfId="0" applyNumberFormat="1" applyFont="1" applyFill="1" applyBorder="1" applyAlignment="1">
      <alignment horizontal="right" wrapText="1"/>
    </xf>
    <xf numFmtId="3" fontId="17" fillId="40" borderId="0" xfId="0" applyNumberFormat="1" applyFont="1" applyFill="1" applyAlignment="1">
      <alignment horizontal="center"/>
    </xf>
    <xf numFmtId="166" fontId="17" fillId="40" borderId="6" xfId="0" applyNumberFormat="1" applyFont="1" applyFill="1" applyBorder="1" applyAlignment="1">
      <alignment horizontal="center"/>
    </xf>
    <xf numFmtId="166" fontId="17" fillId="40" borderId="15" xfId="0" applyNumberFormat="1" applyFont="1" applyFill="1" applyBorder="1" applyAlignment="1">
      <alignment horizontal="center"/>
    </xf>
    <xf numFmtId="166" fontId="17" fillId="40" borderId="19" xfId="0" applyNumberFormat="1" applyFont="1" applyFill="1" applyBorder="1" applyAlignment="1">
      <alignment horizontal="center"/>
    </xf>
    <xf numFmtId="3" fontId="3" fillId="0" borderId="0" xfId="0" applyNumberFormat="1" applyFont="1" applyAlignment="1">
      <alignment horizontal="center"/>
    </xf>
    <xf numFmtId="3" fontId="66" fillId="0" borderId="22" xfId="0" applyNumberFormat="1" applyFont="1" applyBorder="1" applyAlignment="1">
      <alignment horizontal="center"/>
    </xf>
    <xf numFmtId="3" fontId="66" fillId="0" borderId="22" xfId="0" applyNumberFormat="1" applyFont="1" applyBorder="1" applyAlignment="1">
      <alignment horizontal="center" vertical="center"/>
    </xf>
    <xf numFmtId="3" fontId="66" fillId="0" borderId="24" xfId="0" applyNumberFormat="1" applyFont="1" applyBorder="1" applyAlignment="1">
      <alignment horizontal="center"/>
    </xf>
    <xf numFmtId="3" fontId="22" fillId="0" borderId="1" xfId="0" applyNumberFormat="1" applyFont="1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3" fontId="4" fillId="0" borderId="13" xfId="0" applyNumberFormat="1" applyFont="1" applyBorder="1" applyAlignment="1">
      <alignment horizontal="center" vertical="center"/>
    </xf>
    <xf numFmtId="3" fontId="3" fillId="0" borderId="13" xfId="0" applyNumberFormat="1" applyFont="1" applyBorder="1" applyAlignment="1">
      <alignment horizontal="center"/>
    </xf>
    <xf numFmtId="3" fontId="22" fillId="0" borderId="1" xfId="0" applyNumberFormat="1" applyFont="1" applyBorder="1" applyAlignment="1">
      <alignment horizontal="center" vertical="center"/>
    </xf>
    <xf numFmtId="3" fontId="68" fillId="0" borderId="0" xfId="0" applyNumberFormat="1" applyFont="1" applyBorder="1" applyAlignment="1">
      <alignment horizontal="center"/>
    </xf>
    <xf numFmtId="4" fontId="68" fillId="0" borderId="0" xfId="0" applyNumberFormat="1" applyFont="1" applyBorder="1"/>
    <xf numFmtId="4" fontId="68" fillId="0" borderId="0" xfId="0" applyNumberFormat="1" applyFont="1" applyBorder="1" applyAlignment="1">
      <alignment horizontal="right"/>
    </xf>
    <xf numFmtId="4" fontId="31" fillId="0" borderId="0" xfId="0" applyNumberFormat="1" applyFont="1" applyBorder="1" applyAlignment="1">
      <alignment horizontal="center"/>
    </xf>
    <xf numFmtId="3" fontId="4" fillId="8" borderId="13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4" fontId="69" fillId="0" borderId="0" xfId="0" applyNumberFormat="1" applyFont="1" applyAlignment="1">
      <alignment horizontal="center"/>
    </xf>
    <xf numFmtId="4" fontId="69" fillId="18" borderId="15" xfId="0" applyNumberFormat="1" applyFont="1" applyFill="1" applyBorder="1" applyAlignment="1">
      <alignment horizontal="center"/>
    </xf>
    <xf numFmtId="4" fontId="69" fillId="18" borderId="0" xfId="0" applyNumberFormat="1" applyFont="1" applyFill="1" applyBorder="1" applyAlignment="1">
      <alignment horizontal="center"/>
    </xf>
    <xf numFmtId="4" fontId="69" fillId="18" borderId="14" xfId="0" applyNumberFormat="1" applyFont="1" applyFill="1" applyBorder="1" applyAlignment="1">
      <alignment horizontal="center"/>
    </xf>
    <xf numFmtId="4" fontId="69" fillId="11" borderId="2" xfId="0" applyNumberFormat="1" applyFont="1" applyFill="1" applyBorder="1" applyAlignment="1">
      <alignment horizontal="center"/>
    </xf>
    <xf numFmtId="4" fontId="69" fillId="11" borderId="65" xfId="0" applyNumberFormat="1" applyFont="1" applyFill="1" applyBorder="1" applyAlignment="1">
      <alignment horizontal="center"/>
    </xf>
    <xf numFmtId="4" fontId="69" fillId="11" borderId="3" xfId="0" applyNumberFormat="1" applyFont="1" applyFill="1" applyBorder="1" applyAlignment="1">
      <alignment horizontal="center"/>
    </xf>
    <xf numFmtId="4" fontId="67" fillId="18" borderId="14" xfId="0" applyNumberFormat="1" applyFont="1" applyFill="1" applyBorder="1" applyAlignment="1">
      <alignment horizontal="center"/>
    </xf>
    <xf numFmtId="3" fontId="3" fillId="23" borderId="3" xfId="0" applyNumberFormat="1" applyFont="1" applyFill="1" applyBorder="1" applyAlignment="1">
      <alignment horizontal="center"/>
    </xf>
    <xf numFmtId="0" fontId="49" fillId="40" borderId="13" xfId="1" applyFont="1" applyFill="1" applyBorder="1" applyAlignment="1" applyProtection="1">
      <alignment horizontal="center"/>
    </xf>
    <xf numFmtId="0" fontId="49" fillId="40" borderId="29" xfId="1" applyFont="1" applyFill="1" applyBorder="1" applyAlignment="1" applyProtection="1">
      <alignment horizontal="center"/>
    </xf>
    <xf numFmtId="3" fontId="24" fillId="4" borderId="1" xfId="0" applyNumberFormat="1" applyFont="1" applyFill="1" applyBorder="1" applyAlignment="1">
      <alignment horizontal="center" vertical="center"/>
    </xf>
    <xf numFmtId="3" fontId="24" fillId="4" borderId="2" xfId="0" applyNumberFormat="1" applyFont="1" applyFill="1" applyBorder="1" applyAlignment="1">
      <alignment horizontal="center" vertical="center"/>
    </xf>
    <xf numFmtId="3" fontId="12" fillId="0" borderId="0" xfId="0" applyNumberFormat="1" applyFont="1" applyAlignment="1">
      <alignment horizontal="center" vertical="center"/>
    </xf>
    <xf numFmtId="3" fontId="12" fillId="0" borderId="31" xfId="0" applyNumberFormat="1" applyFont="1" applyFill="1" applyBorder="1" applyAlignment="1">
      <alignment horizontal="center" vertical="center"/>
    </xf>
    <xf numFmtId="3" fontId="12" fillId="26" borderId="29" xfId="0" applyNumberFormat="1" applyFont="1" applyFill="1" applyBorder="1" applyAlignment="1">
      <alignment horizontal="center" vertical="center"/>
    </xf>
    <xf numFmtId="3" fontId="12" fillId="12" borderId="13" xfId="0" applyNumberFormat="1" applyFont="1" applyFill="1" applyBorder="1" applyAlignment="1">
      <alignment horizontal="center" vertical="center"/>
    </xf>
    <xf numFmtId="3" fontId="12" fillId="26" borderId="13" xfId="0" applyNumberFormat="1" applyFont="1" applyFill="1" applyBorder="1" applyAlignment="1">
      <alignment horizontal="center" vertical="center"/>
    </xf>
    <xf numFmtId="3" fontId="12" fillId="11" borderId="13" xfId="0" applyNumberFormat="1" applyFont="1" applyFill="1" applyBorder="1" applyAlignment="1">
      <alignment horizontal="center" vertical="center"/>
    </xf>
    <xf numFmtId="3" fontId="12" fillId="9" borderId="29" xfId="0" applyNumberFormat="1" applyFont="1" applyFill="1" applyBorder="1" applyAlignment="1">
      <alignment horizontal="center" vertical="center"/>
    </xf>
    <xf numFmtId="3" fontId="12" fillId="0" borderId="87" xfId="0" applyNumberFormat="1" applyFont="1" applyFill="1" applyBorder="1" applyAlignment="1">
      <alignment horizontal="center" vertical="center"/>
    </xf>
    <xf numFmtId="3" fontId="12" fillId="9" borderId="13" xfId="0" applyNumberFormat="1" applyFont="1" applyFill="1" applyBorder="1" applyAlignment="1">
      <alignment horizontal="center" vertical="center"/>
    </xf>
    <xf numFmtId="3" fontId="12" fillId="0" borderId="38" xfId="0" applyNumberFormat="1" applyFont="1" applyFill="1" applyBorder="1" applyAlignment="1">
      <alignment horizontal="center" vertical="center"/>
    </xf>
    <xf numFmtId="3" fontId="12" fillId="0" borderId="13" xfId="0" applyNumberFormat="1" applyFont="1" applyBorder="1" applyAlignment="1">
      <alignment horizontal="center" vertical="center"/>
    </xf>
    <xf numFmtId="3" fontId="12" fillId="0" borderId="13" xfId="0" applyNumberFormat="1" applyFont="1" applyBorder="1" applyAlignment="1">
      <alignment horizontal="center" vertical="center" wrapText="1"/>
    </xf>
    <xf numFmtId="3" fontId="12" fillId="0" borderId="29" xfId="0" applyNumberFormat="1" applyFont="1" applyBorder="1" applyAlignment="1">
      <alignment horizontal="center" vertical="center"/>
    </xf>
    <xf numFmtId="3" fontId="12" fillId="12" borderId="26" xfId="0" applyNumberFormat="1" applyFont="1" applyFill="1" applyBorder="1" applyAlignment="1">
      <alignment horizontal="center" vertical="center"/>
    </xf>
    <xf numFmtId="3" fontId="12" fillId="0" borderId="39" xfId="0" applyNumberFormat="1" applyFont="1" applyFill="1" applyBorder="1" applyAlignment="1">
      <alignment horizontal="center" vertical="center"/>
    </xf>
    <xf numFmtId="3" fontId="12" fillId="11" borderId="29" xfId="0" applyNumberFormat="1" applyFont="1" applyFill="1" applyBorder="1" applyAlignment="1">
      <alignment horizontal="center" vertical="center"/>
    </xf>
    <xf numFmtId="3" fontId="12" fillId="11" borderId="37" xfId="0" applyNumberFormat="1" applyFont="1" applyFill="1" applyBorder="1" applyAlignment="1">
      <alignment horizontal="center" vertical="center"/>
    </xf>
    <xf numFmtId="3" fontId="12" fillId="32" borderId="27" xfId="0" applyNumberFormat="1" applyFont="1" applyFill="1" applyBorder="1" applyAlignment="1">
      <alignment horizontal="center" vertical="center"/>
    </xf>
    <xf numFmtId="3" fontId="12" fillId="36" borderId="27" xfId="0" applyNumberFormat="1" applyFont="1" applyFill="1" applyBorder="1" applyAlignment="1">
      <alignment horizontal="center" vertical="center"/>
    </xf>
    <xf numFmtId="3" fontId="12" fillId="12" borderId="27" xfId="0" applyNumberFormat="1" applyFont="1" applyFill="1" applyBorder="1" applyAlignment="1">
      <alignment horizontal="center" vertical="center"/>
    </xf>
    <xf numFmtId="3" fontId="12" fillId="0" borderId="40" xfId="0" applyNumberFormat="1" applyFont="1" applyFill="1" applyBorder="1" applyAlignment="1">
      <alignment horizontal="center" vertical="center"/>
    </xf>
    <xf numFmtId="3" fontId="12" fillId="0" borderId="0" xfId="0" applyNumberFormat="1" applyFont="1" applyFill="1" applyBorder="1" applyAlignment="1">
      <alignment horizontal="center" vertical="center"/>
    </xf>
    <xf numFmtId="3" fontId="12" fillId="32" borderId="13" xfId="0" applyNumberFormat="1" applyFont="1" applyFill="1" applyBorder="1" applyAlignment="1">
      <alignment horizontal="center" vertical="center"/>
    </xf>
    <xf numFmtId="3" fontId="12" fillId="36" borderId="13" xfId="0" applyNumberFormat="1" applyFont="1" applyFill="1" applyBorder="1" applyAlignment="1">
      <alignment horizontal="center" vertical="center"/>
    </xf>
    <xf numFmtId="3" fontId="12" fillId="0" borderId="0" xfId="0" applyNumberFormat="1" applyFont="1" applyBorder="1" applyAlignment="1">
      <alignment horizontal="center" vertical="center"/>
    </xf>
    <xf numFmtId="3" fontId="12" fillId="11" borderId="38" xfId="0" applyNumberFormat="1" applyFont="1" applyFill="1" applyBorder="1" applyAlignment="1">
      <alignment horizontal="center" vertical="center" wrapText="1"/>
    </xf>
    <xf numFmtId="3" fontId="12" fillId="5" borderId="32" xfId="0" applyNumberFormat="1" applyFont="1" applyFill="1" applyBorder="1" applyAlignment="1">
      <alignment horizontal="center" vertical="center"/>
    </xf>
    <xf numFmtId="3" fontId="12" fillId="12" borderId="32" xfId="0" applyNumberFormat="1" applyFont="1" applyFill="1" applyBorder="1" applyAlignment="1">
      <alignment horizontal="center" vertical="center"/>
    </xf>
    <xf numFmtId="3" fontId="12" fillId="0" borderId="41" xfId="0" applyNumberFormat="1" applyFont="1" applyFill="1" applyBorder="1" applyAlignment="1">
      <alignment horizontal="center" vertical="center"/>
    </xf>
    <xf numFmtId="3" fontId="12" fillId="0" borderId="0" xfId="0" applyNumberFormat="1" applyFont="1" applyFill="1" applyBorder="1" applyAlignment="1">
      <alignment horizontal="center" vertical="center" wrapText="1"/>
    </xf>
    <xf numFmtId="3" fontId="12" fillId="0" borderId="36" xfId="0" applyNumberFormat="1" applyFont="1" applyFill="1" applyBorder="1" applyAlignment="1">
      <alignment horizontal="center" vertical="center"/>
    </xf>
    <xf numFmtId="3" fontId="12" fillId="35" borderId="24" xfId="0" applyNumberFormat="1" applyFont="1" applyFill="1" applyBorder="1" applyAlignment="1">
      <alignment horizontal="center" vertical="center"/>
    </xf>
    <xf numFmtId="3" fontId="12" fillId="35" borderId="29" xfId="0" applyNumberFormat="1" applyFont="1" applyFill="1" applyBorder="1" applyAlignment="1">
      <alignment horizontal="center" vertical="center"/>
    </xf>
    <xf numFmtId="3" fontId="12" fillId="0" borderId="43" xfId="0" applyNumberFormat="1" applyFont="1" applyFill="1" applyBorder="1" applyAlignment="1">
      <alignment horizontal="center" vertical="center"/>
    </xf>
    <xf numFmtId="3" fontId="12" fillId="0" borderId="43" xfId="0" applyNumberFormat="1" applyFont="1" applyFill="1" applyBorder="1" applyAlignment="1">
      <alignment horizontal="center" vertical="center" wrapText="1"/>
    </xf>
    <xf numFmtId="3" fontId="4" fillId="0" borderId="13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3" fontId="3" fillId="0" borderId="0" xfId="0" applyNumberFormat="1" applyFont="1" applyAlignment="1">
      <alignment horizontal="center"/>
    </xf>
    <xf numFmtId="0" fontId="12" fillId="12" borderId="0" xfId="0" applyFont="1" applyFill="1" applyAlignment="1">
      <alignment horizontal="center"/>
    </xf>
    <xf numFmtId="3" fontId="4" fillId="0" borderId="5" xfId="0" applyNumberFormat="1" applyFont="1" applyBorder="1" applyAlignment="1">
      <alignment horizontal="center" vertical="center"/>
    </xf>
    <xf numFmtId="3" fontId="4" fillId="0" borderId="6" xfId="0" applyNumberFormat="1" applyFont="1" applyBorder="1" applyAlignment="1">
      <alignment horizontal="center" vertical="center"/>
    </xf>
    <xf numFmtId="3" fontId="4" fillId="0" borderId="7" xfId="0" applyNumberFormat="1" applyFont="1" applyBorder="1" applyAlignment="1">
      <alignment horizontal="center" vertical="center"/>
    </xf>
    <xf numFmtId="0" fontId="59" fillId="0" borderId="0" xfId="1" applyFont="1" applyAlignment="1" applyProtection="1">
      <alignment horizontal="center" vertical="center"/>
    </xf>
    <xf numFmtId="0" fontId="59" fillId="0" borderId="56" xfId="1" applyFont="1" applyBorder="1" applyAlignment="1" applyProtection="1">
      <alignment horizontal="center" vertical="center"/>
    </xf>
    <xf numFmtId="4" fontId="4" fillId="0" borderId="0" xfId="0" applyNumberFormat="1" applyFont="1" applyBorder="1" applyAlignment="1">
      <alignment vertical="center"/>
    </xf>
    <xf numFmtId="0" fontId="37" fillId="0" borderId="0" xfId="1" applyFont="1" applyAlignment="1" applyProtection="1">
      <alignment horizontal="center"/>
    </xf>
    <xf numFmtId="0" fontId="37" fillId="0" borderId="56" xfId="1" applyFont="1" applyBorder="1" applyAlignment="1" applyProtection="1">
      <alignment horizontal="center"/>
    </xf>
    <xf numFmtId="3" fontId="50" fillId="16" borderId="0" xfId="0" applyNumberFormat="1" applyFont="1" applyFill="1" applyAlignment="1">
      <alignment horizontal="center" vertical="center"/>
    </xf>
    <xf numFmtId="3" fontId="22" fillId="22" borderId="5" xfId="0" applyNumberFormat="1" applyFont="1" applyFill="1" applyBorder="1" applyAlignment="1">
      <alignment horizontal="center" vertical="center"/>
    </xf>
    <xf numFmtId="3" fontId="22" fillId="22" borderId="6" xfId="0" applyNumberFormat="1" applyFont="1" applyFill="1" applyBorder="1" applyAlignment="1">
      <alignment horizontal="center" vertical="center"/>
    </xf>
    <xf numFmtId="3" fontId="22" fillId="22" borderId="7" xfId="0" applyNumberFormat="1" applyFont="1" applyFill="1" applyBorder="1" applyAlignment="1">
      <alignment horizontal="center" vertical="center"/>
    </xf>
    <xf numFmtId="3" fontId="51" fillId="0" borderId="0" xfId="1" applyNumberFormat="1" applyFont="1" applyAlignment="1" applyProtection="1">
      <alignment horizontal="center" vertical="center"/>
    </xf>
    <xf numFmtId="3" fontId="22" fillId="6" borderId="1" xfId="0" applyNumberFormat="1" applyFont="1" applyFill="1" applyBorder="1" applyAlignment="1">
      <alignment horizontal="center" vertical="center"/>
    </xf>
    <xf numFmtId="3" fontId="22" fillId="0" borderId="1" xfId="0" applyNumberFormat="1" applyFont="1" applyBorder="1" applyAlignment="1">
      <alignment horizontal="center" vertical="center"/>
    </xf>
    <xf numFmtId="3" fontId="22" fillId="4" borderId="5" xfId="0" applyNumberFormat="1" applyFont="1" applyFill="1" applyBorder="1" applyAlignment="1">
      <alignment horizontal="center" vertical="center"/>
    </xf>
    <xf numFmtId="3" fontId="22" fillId="4" borderId="6" xfId="0" applyNumberFormat="1" applyFont="1" applyFill="1" applyBorder="1" applyAlignment="1">
      <alignment horizontal="center" vertical="center"/>
    </xf>
    <xf numFmtId="3" fontId="22" fillId="4" borderId="7" xfId="0" applyNumberFormat="1" applyFont="1" applyFill="1" applyBorder="1" applyAlignment="1">
      <alignment horizontal="center" vertical="center"/>
    </xf>
    <xf numFmtId="3" fontId="22" fillId="7" borderId="5" xfId="0" applyNumberFormat="1" applyFont="1" applyFill="1" applyBorder="1" applyAlignment="1">
      <alignment horizontal="center" vertical="center"/>
    </xf>
    <xf numFmtId="3" fontId="22" fillId="7" borderId="6" xfId="0" applyNumberFormat="1" applyFont="1" applyFill="1" applyBorder="1" applyAlignment="1">
      <alignment horizontal="center" vertical="center"/>
    </xf>
    <xf numFmtId="3" fontId="22" fillId="7" borderId="7" xfId="0" applyNumberFormat="1" applyFont="1" applyFill="1" applyBorder="1" applyAlignment="1">
      <alignment horizontal="center" vertical="center"/>
    </xf>
    <xf numFmtId="3" fontId="22" fillId="8" borderId="5" xfId="0" applyNumberFormat="1" applyFont="1" applyFill="1" applyBorder="1" applyAlignment="1">
      <alignment horizontal="center" vertical="center"/>
    </xf>
    <xf numFmtId="3" fontId="22" fillId="8" borderId="6" xfId="0" applyNumberFormat="1" applyFont="1" applyFill="1" applyBorder="1" applyAlignment="1">
      <alignment horizontal="center" vertical="center"/>
    </xf>
    <xf numFmtId="3" fontId="22" fillId="8" borderId="7" xfId="0" applyNumberFormat="1" applyFont="1" applyFill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center" vertical="center"/>
    </xf>
    <xf numFmtId="3" fontId="5" fillId="0" borderId="7" xfId="0" applyNumberFormat="1" applyFont="1" applyBorder="1" applyAlignment="1">
      <alignment horizontal="center" vertical="center"/>
    </xf>
    <xf numFmtId="3" fontId="37" fillId="0" borderId="5" xfId="1" applyNumberFormat="1" applyFont="1" applyBorder="1" applyAlignment="1" applyProtection="1">
      <alignment horizontal="center" vertical="center"/>
    </xf>
    <xf numFmtId="3" fontId="37" fillId="0" borderId="6" xfId="1" applyNumberFormat="1" applyFont="1" applyBorder="1" applyAlignment="1" applyProtection="1">
      <alignment horizontal="center" vertical="center"/>
    </xf>
    <xf numFmtId="3" fontId="37" fillId="0" borderId="7" xfId="1" applyNumberFormat="1" applyFont="1" applyBorder="1" applyAlignment="1" applyProtection="1">
      <alignment horizontal="center" vertical="center"/>
    </xf>
    <xf numFmtId="3" fontId="5" fillId="11" borderId="1" xfId="0" applyNumberFormat="1" applyFont="1" applyFill="1" applyBorder="1" applyAlignment="1">
      <alignment horizontal="center" vertical="center"/>
    </xf>
    <xf numFmtId="3" fontId="5" fillId="11" borderId="5" xfId="0" applyNumberFormat="1" applyFont="1" applyFill="1" applyBorder="1" applyAlignment="1">
      <alignment horizontal="center" vertical="center"/>
    </xf>
    <xf numFmtId="3" fontId="5" fillId="11" borderId="7" xfId="0" applyNumberFormat="1" applyFont="1" applyFill="1" applyBorder="1" applyAlignment="1">
      <alignment horizontal="center" vertical="center"/>
    </xf>
    <xf numFmtId="3" fontId="31" fillId="11" borderId="1" xfId="0" applyNumberFormat="1" applyFont="1" applyFill="1" applyBorder="1" applyAlignment="1">
      <alignment horizontal="center" vertical="center" wrapText="1"/>
    </xf>
    <xf numFmtId="3" fontId="5" fillId="11" borderId="2" xfId="0" applyNumberFormat="1" applyFont="1" applyFill="1" applyBorder="1" applyAlignment="1">
      <alignment horizontal="center" vertical="center"/>
    </xf>
    <xf numFmtId="3" fontId="5" fillId="11" borderId="3" xfId="0" applyNumberFormat="1" applyFont="1" applyFill="1" applyBorder="1" applyAlignment="1">
      <alignment horizontal="center" vertical="center"/>
    </xf>
    <xf numFmtId="3" fontId="3" fillId="11" borderId="13" xfId="0" applyNumberFormat="1" applyFont="1" applyFill="1" applyBorder="1" applyAlignment="1">
      <alignment horizontal="center" vertical="center"/>
    </xf>
    <xf numFmtId="3" fontId="31" fillId="0" borderId="18" xfId="0" applyNumberFormat="1" applyFont="1" applyFill="1" applyBorder="1" applyAlignment="1">
      <alignment horizontal="center" vertical="center" wrapText="1"/>
    </xf>
    <xf numFmtId="3" fontId="3" fillId="11" borderId="16" xfId="0" applyNumberFormat="1" applyFont="1" applyFill="1" applyBorder="1" applyAlignment="1">
      <alignment horizontal="center" vertical="center"/>
    </xf>
    <xf numFmtId="3" fontId="3" fillId="11" borderId="55" xfId="0" applyNumberFormat="1" applyFont="1" applyFill="1" applyBorder="1" applyAlignment="1">
      <alignment horizontal="center" vertical="center"/>
    </xf>
    <xf numFmtId="3" fontId="5" fillId="11" borderId="21" xfId="0" applyNumberFormat="1" applyFont="1" applyFill="1" applyBorder="1" applyAlignment="1">
      <alignment horizontal="center" vertical="center" textRotation="90"/>
    </xf>
    <xf numFmtId="0" fontId="0" fillId="0" borderId="23" xfId="0" applyBorder="1"/>
    <xf numFmtId="0" fontId="0" fillId="0" borderId="25" xfId="0" applyBorder="1"/>
    <xf numFmtId="3" fontId="12" fillId="11" borderId="0" xfId="0" applyNumberFormat="1" applyFont="1" applyFill="1" applyAlignment="1">
      <alignment horizontal="center" vertical="center"/>
    </xf>
    <xf numFmtId="3" fontId="12" fillId="11" borderId="36" xfId="0" applyNumberFormat="1" applyFont="1" applyFill="1" applyBorder="1" applyAlignment="1">
      <alignment horizontal="center" vertical="center"/>
    </xf>
    <xf numFmtId="3" fontId="49" fillId="11" borderId="26" xfId="1" applyNumberFormat="1" applyFont="1" applyFill="1" applyBorder="1" applyAlignment="1" applyProtection="1">
      <alignment horizontal="center" vertical="center"/>
    </xf>
    <xf numFmtId="3" fontId="49" fillId="11" borderId="43" xfId="1" applyNumberFormat="1" applyFont="1" applyFill="1" applyBorder="1" applyAlignment="1" applyProtection="1">
      <alignment horizontal="center" vertical="center"/>
    </xf>
    <xf numFmtId="3" fontId="49" fillId="11" borderId="27" xfId="1" applyNumberFormat="1" applyFont="1" applyFill="1" applyBorder="1" applyAlignment="1" applyProtection="1">
      <alignment horizontal="center" vertical="center"/>
    </xf>
    <xf numFmtId="3" fontId="12" fillId="0" borderId="29" xfId="0" applyNumberFormat="1" applyFont="1" applyFill="1" applyBorder="1" applyAlignment="1">
      <alignment horizontal="center" vertical="center"/>
    </xf>
    <xf numFmtId="3" fontId="12" fillId="0" borderId="30" xfId="0" applyNumberFormat="1" applyFont="1" applyFill="1" applyBorder="1" applyAlignment="1">
      <alignment horizontal="center" vertical="center"/>
    </xf>
    <xf numFmtId="3" fontId="12" fillId="11" borderId="29" xfId="0" applyNumberFormat="1" applyFont="1" applyFill="1" applyBorder="1" applyAlignment="1">
      <alignment horizontal="center" vertical="center"/>
    </xf>
    <xf numFmtId="3" fontId="12" fillId="11" borderId="13" xfId="0" applyNumberFormat="1" applyFont="1" applyFill="1" applyBorder="1" applyAlignment="1">
      <alignment horizontal="center" vertical="center"/>
    </xf>
    <xf numFmtId="3" fontId="12" fillId="11" borderId="27" xfId="0" applyNumberFormat="1" applyFont="1" applyFill="1" applyBorder="1" applyAlignment="1">
      <alignment horizontal="center" vertical="center" wrapText="1"/>
    </xf>
    <xf numFmtId="3" fontId="12" fillId="11" borderId="13" xfId="0" applyNumberFormat="1" applyFont="1" applyFill="1" applyBorder="1" applyAlignment="1">
      <alignment horizontal="center" vertical="center" wrapText="1"/>
    </xf>
    <xf numFmtId="3" fontId="12" fillId="11" borderId="29" xfId="0" applyNumberFormat="1" applyFont="1" applyFill="1" applyBorder="1" applyAlignment="1">
      <alignment horizontal="center" vertical="center" wrapText="1"/>
    </xf>
    <xf numFmtId="49" fontId="12" fillId="11" borderId="27" xfId="0" applyNumberFormat="1" applyFont="1" applyFill="1" applyBorder="1" applyAlignment="1">
      <alignment horizontal="center" vertical="center"/>
    </xf>
    <xf numFmtId="49" fontId="12" fillId="11" borderId="13" xfId="0" applyNumberFormat="1" applyFont="1" applyFill="1" applyBorder="1" applyAlignment="1">
      <alignment horizontal="center" vertical="center"/>
    </xf>
    <xf numFmtId="165" fontId="12" fillId="11" borderId="13" xfId="0" applyNumberFormat="1" applyFont="1" applyFill="1" applyBorder="1" applyAlignment="1">
      <alignment horizontal="center" vertical="center"/>
    </xf>
    <xf numFmtId="3" fontId="12" fillId="0" borderId="28" xfId="0" applyNumberFormat="1" applyFont="1" applyFill="1" applyBorder="1" applyAlignment="1">
      <alignment horizontal="center" vertical="center"/>
    </xf>
    <xf numFmtId="3" fontId="12" fillId="11" borderId="43" xfId="0" applyNumberFormat="1" applyFont="1" applyFill="1" applyBorder="1" applyAlignment="1">
      <alignment horizontal="center" vertical="center"/>
    </xf>
    <xf numFmtId="3" fontId="12" fillId="11" borderId="27" xfId="0" applyNumberFormat="1" applyFont="1" applyFill="1" applyBorder="1" applyAlignment="1">
      <alignment horizontal="center" vertical="center"/>
    </xf>
    <xf numFmtId="4" fontId="5" fillId="16" borderId="16" xfId="0" applyNumberFormat="1" applyFont="1" applyFill="1" applyBorder="1" applyAlignment="1">
      <alignment horizontal="center"/>
    </xf>
    <xf numFmtId="4" fontId="5" fillId="16" borderId="17" xfId="0" applyNumberFormat="1" applyFont="1" applyFill="1" applyBorder="1" applyAlignment="1">
      <alignment horizontal="center"/>
    </xf>
    <xf numFmtId="4" fontId="5" fillId="16" borderId="18" xfId="0" applyNumberFormat="1" applyFont="1" applyFill="1" applyBorder="1" applyAlignment="1">
      <alignment horizontal="center"/>
    </xf>
    <xf numFmtId="4" fontId="5" fillId="16" borderId="8" xfId="0" applyNumberFormat="1" applyFont="1" applyFill="1" applyBorder="1" applyAlignment="1">
      <alignment horizontal="center"/>
    </xf>
    <xf numFmtId="4" fontId="5" fillId="16" borderId="55" xfId="0" applyNumberFormat="1" applyFont="1" applyFill="1" applyBorder="1" applyAlignment="1">
      <alignment horizontal="center"/>
    </xf>
    <xf numFmtId="4" fontId="5" fillId="16" borderId="57" xfId="0" applyNumberFormat="1" applyFont="1" applyFill="1" applyBorder="1" applyAlignment="1">
      <alignment horizontal="center"/>
    </xf>
    <xf numFmtId="4" fontId="5" fillId="16" borderId="5" xfId="0" applyNumberFormat="1" applyFont="1" applyFill="1" applyBorder="1" applyAlignment="1">
      <alignment horizontal="center"/>
    </xf>
    <xf numFmtId="4" fontId="5" fillId="16" borderId="7" xfId="0" applyNumberFormat="1" applyFont="1" applyFill="1" applyBorder="1" applyAlignment="1">
      <alignment horizontal="center"/>
    </xf>
    <xf numFmtId="3" fontId="5" fillId="16" borderId="16" xfId="0" applyNumberFormat="1" applyFont="1" applyFill="1" applyBorder="1" applyAlignment="1">
      <alignment horizontal="center"/>
    </xf>
    <xf numFmtId="3" fontId="5" fillId="16" borderId="15" xfId="0" applyNumberFormat="1" applyFont="1" applyFill="1" applyBorder="1" applyAlignment="1">
      <alignment horizontal="center"/>
    </xf>
    <xf numFmtId="3" fontId="5" fillId="16" borderId="17" xfId="0" applyNumberFormat="1" applyFont="1" applyFill="1" applyBorder="1" applyAlignment="1">
      <alignment horizontal="center"/>
    </xf>
    <xf numFmtId="3" fontId="52" fillId="14" borderId="55" xfId="0" applyNumberFormat="1" applyFont="1" applyFill="1" applyBorder="1" applyAlignment="1">
      <alignment horizontal="center" vertical="center"/>
    </xf>
    <xf numFmtId="3" fontId="52" fillId="14" borderId="14" xfId="0" applyNumberFormat="1" applyFont="1" applyFill="1" applyBorder="1" applyAlignment="1">
      <alignment horizontal="center" vertical="center"/>
    </xf>
    <xf numFmtId="3" fontId="52" fillId="14" borderId="57" xfId="0" applyNumberFormat="1" applyFont="1" applyFill="1" applyBorder="1" applyAlignment="1">
      <alignment horizontal="center" vertical="center"/>
    </xf>
    <xf numFmtId="0" fontId="53" fillId="0" borderId="0" xfId="1" applyFont="1" applyAlignment="1" applyProtection="1">
      <alignment horizontal="center"/>
    </xf>
    <xf numFmtId="3" fontId="4" fillId="0" borderId="18" xfId="0" applyNumberFormat="1" applyFont="1" applyBorder="1" applyAlignment="1">
      <alignment horizontal="center"/>
    </xf>
    <xf numFmtId="3" fontId="9" fillId="25" borderId="16" xfId="0" applyNumberFormat="1" applyFont="1" applyFill="1" applyBorder="1" applyAlignment="1">
      <alignment horizontal="center" vertical="center"/>
    </xf>
    <xf numFmtId="3" fontId="9" fillId="25" borderId="17" xfId="0" applyNumberFormat="1" applyFont="1" applyFill="1" applyBorder="1" applyAlignment="1">
      <alignment horizontal="center" vertical="center"/>
    </xf>
    <xf numFmtId="3" fontId="9" fillId="25" borderId="55" xfId="0" applyNumberFormat="1" applyFont="1" applyFill="1" applyBorder="1" applyAlignment="1">
      <alignment horizontal="center" vertical="center"/>
    </xf>
    <xf numFmtId="3" fontId="9" fillId="25" borderId="57" xfId="0" applyNumberFormat="1" applyFont="1" applyFill="1" applyBorder="1" applyAlignment="1">
      <alignment horizontal="center" vertical="center"/>
    </xf>
    <xf numFmtId="3" fontId="25" fillId="16" borderId="16" xfId="0" applyNumberFormat="1" applyFont="1" applyFill="1" applyBorder="1" applyAlignment="1">
      <alignment horizontal="center" vertical="center"/>
    </xf>
    <xf numFmtId="3" fontId="25" fillId="16" borderId="17" xfId="0" applyNumberFormat="1" applyFont="1" applyFill="1" applyBorder="1" applyAlignment="1">
      <alignment horizontal="center" vertical="center"/>
    </xf>
    <xf numFmtId="3" fontId="25" fillId="16" borderId="18" xfId="0" applyNumberFormat="1" applyFont="1" applyFill="1" applyBorder="1" applyAlignment="1">
      <alignment horizontal="center" vertical="center"/>
    </xf>
    <xf numFmtId="3" fontId="25" fillId="16" borderId="8" xfId="0" applyNumberFormat="1" applyFont="1" applyFill="1" applyBorder="1" applyAlignment="1">
      <alignment horizontal="center" vertical="center"/>
    </xf>
    <xf numFmtId="3" fontId="25" fillId="16" borderId="55" xfId="0" applyNumberFormat="1" applyFont="1" applyFill="1" applyBorder="1" applyAlignment="1">
      <alignment horizontal="center" vertical="center"/>
    </xf>
    <xf numFmtId="3" fontId="25" fillId="16" borderId="57" xfId="0" applyNumberFormat="1" applyFont="1" applyFill="1" applyBorder="1" applyAlignment="1">
      <alignment horizontal="center" vertical="center"/>
    </xf>
    <xf numFmtId="166" fontId="62" fillId="40" borderId="0" xfId="1" applyNumberFormat="1" applyFont="1" applyFill="1" applyAlignment="1" applyProtection="1">
      <alignment horizontal="center"/>
    </xf>
    <xf numFmtId="166" fontId="18" fillId="11" borderId="20" xfId="0" applyNumberFormat="1" applyFont="1" applyFill="1" applyBorder="1" applyAlignment="1">
      <alignment horizontal="center" vertical="center"/>
    </xf>
    <xf numFmtId="166" fontId="18" fillId="11" borderId="11" xfId="0" applyNumberFormat="1" applyFont="1" applyFill="1" applyBorder="1" applyAlignment="1">
      <alignment horizontal="center" vertical="center"/>
    </xf>
    <xf numFmtId="166" fontId="18" fillId="11" borderId="21" xfId="0" applyNumberFormat="1" applyFont="1" applyFill="1" applyBorder="1" applyAlignment="1">
      <alignment horizontal="center" vertical="center"/>
    </xf>
    <xf numFmtId="166" fontId="17" fillId="41" borderId="0" xfId="0" applyNumberFormat="1" applyFont="1" applyFill="1" applyBorder="1" applyAlignment="1">
      <alignment horizontal="center" wrapText="1"/>
    </xf>
    <xf numFmtId="166" fontId="65" fillId="42" borderId="0" xfId="0" applyNumberFormat="1" applyFont="1" applyFill="1" applyBorder="1" applyAlignment="1">
      <alignment horizontal="center" wrapText="1"/>
    </xf>
    <xf numFmtId="0" fontId="4" fillId="16" borderId="13" xfId="0" applyFont="1" applyFill="1" applyBorder="1" applyAlignment="1">
      <alignment horizontal="center" vertical="center"/>
    </xf>
    <xf numFmtId="0" fontId="4" fillId="16" borderId="26" xfId="0" applyFont="1" applyFill="1" applyBorder="1" applyAlignment="1">
      <alignment horizontal="center" vertical="center"/>
    </xf>
    <xf numFmtId="0" fontId="4" fillId="16" borderId="27" xfId="0" applyFont="1" applyFill="1" applyBorder="1" applyAlignment="1">
      <alignment horizontal="center" vertical="center"/>
    </xf>
    <xf numFmtId="0" fontId="9" fillId="16" borderId="26" xfId="0" applyFont="1" applyFill="1" applyBorder="1" applyAlignment="1">
      <alignment horizontal="center" vertical="center"/>
    </xf>
    <xf numFmtId="0" fontId="9" fillId="16" borderId="27" xfId="0" applyFont="1" applyFill="1" applyBorder="1" applyAlignment="1">
      <alignment horizontal="center" vertical="center"/>
    </xf>
    <xf numFmtId="0" fontId="38" fillId="0" borderId="0" xfId="1" applyFont="1" applyAlignment="1" applyProtection="1">
      <alignment horizontal="center"/>
    </xf>
    <xf numFmtId="3" fontId="4" fillId="0" borderId="0" xfId="0" applyNumberFormat="1" applyFont="1" applyAlignment="1">
      <alignment horizontal="center" vertical="center"/>
    </xf>
    <xf numFmtId="3" fontId="5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horizontal="right" vertical="center"/>
    </xf>
    <xf numFmtId="3" fontId="37" fillId="0" borderId="11" xfId="1" applyNumberFormat="1" applyFont="1" applyBorder="1" applyAlignment="1" applyProtection="1">
      <alignment horizontal="center" vertical="center"/>
    </xf>
    <xf numFmtId="3" fontId="37" fillId="0" borderId="0" xfId="1" applyNumberFormat="1" applyFont="1" applyBorder="1" applyAlignment="1" applyProtection="1">
      <alignment horizontal="center" vertical="center"/>
    </xf>
    <xf numFmtId="3" fontId="5" fillId="0" borderId="0" xfId="0" applyNumberFormat="1" applyFont="1" applyBorder="1" applyAlignment="1">
      <alignment horizontal="right" vertical="top" wrapText="1"/>
    </xf>
    <xf numFmtId="3" fontId="5" fillId="11" borderId="29" xfId="0" applyNumberFormat="1" applyFont="1" applyFill="1" applyBorder="1" applyAlignment="1">
      <alignment horizontal="center"/>
    </xf>
    <xf numFmtId="3" fontId="5" fillId="11" borderId="30" xfId="0" applyNumberFormat="1" applyFont="1" applyFill="1" applyBorder="1" applyAlignment="1">
      <alignment horizontal="center"/>
    </xf>
    <xf numFmtId="3" fontId="5" fillId="0" borderId="0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right" wrapText="1"/>
    </xf>
    <xf numFmtId="3" fontId="37" fillId="11" borderId="0" xfId="1" applyNumberFormat="1" applyFont="1" applyFill="1" applyAlignment="1" applyProtection="1">
      <alignment horizontal="center"/>
    </xf>
    <xf numFmtId="3" fontId="5" fillId="0" borderId="0" xfId="0" applyNumberFormat="1" applyFont="1" applyFill="1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3" fontId="5" fillId="20" borderId="29" xfId="0" applyNumberFormat="1" applyFont="1" applyFill="1" applyBorder="1" applyAlignment="1">
      <alignment horizontal="center"/>
    </xf>
    <xf numFmtId="3" fontId="5" fillId="20" borderId="28" xfId="0" applyNumberFormat="1" applyFont="1" applyFill="1" applyBorder="1" applyAlignment="1">
      <alignment horizontal="center"/>
    </xf>
    <xf numFmtId="3" fontId="5" fillId="20" borderId="30" xfId="0" applyNumberFormat="1" applyFont="1" applyFill="1" applyBorder="1" applyAlignment="1">
      <alignment horizontal="center"/>
    </xf>
    <xf numFmtId="3" fontId="4" fillId="20" borderId="13" xfId="0" applyNumberFormat="1" applyFont="1" applyFill="1" applyBorder="1" applyAlignment="1">
      <alignment horizontal="center" vertical="center" readingOrder="2"/>
    </xf>
    <xf numFmtId="3" fontId="5" fillId="20" borderId="13" xfId="0" applyNumberFormat="1" applyFont="1" applyFill="1" applyBorder="1" applyAlignment="1">
      <alignment horizontal="center"/>
    </xf>
    <xf numFmtId="0" fontId="5" fillId="16" borderId="52" xfId="0" applyFont="1" applyFill="1" applyBorder="1" applyAlignment="1">
      <alignment horizontal="center" vertical="center"/>
    </xf>
    <xf numFmtId="0" fontId="5" fillId="16" borderId="12" xfId="0" applyFont="1" applyFill="1" applyBorder="1" applyAlignment="1">
      <alignment horizontal="center" vertical="center"/>
    </xf>
    <xf numFmtId="0" fontId="5" fillId="16" borderId="53" xfId="0" applyFont="1" applyFill="1" applyBorder="1" applyAlignment="1">
      <alignment horizontal="center" vertical="center"/>
    </xf>
    <xf numFmtId="0" fontId="37" fillId="0" borderId="0" xfId="1" applyFont="1" applyAlignment="1" applyProtection="1">
      <alignment horizontal="center" vertical="center"/>
    </xf>
    <xf numFmtId="3" fontId="31" fillId="0" borderId="13" xfId="0" applyNumberFormat="1" applyFont="1" applyBorder="1" applyAlignment="1">
      <alignment horizontal="center" vertical="center"/>
    </xf>
    <xf numFmtId="3" fontId="4" fillId="38" borderId="29" xfId="0" applyNumberFormat="1" applyFont="1" applyFill="1" applyBorder="1" applyAlignment="1">
      <alignment horizontal="center" vertical="center"/>
    </xf>
    <xf numFmtId="3" fontId="4" fillId="38" borderId="28" xfId="0" applyNumberFormat="1" applyFont="1" applyFill="1" applyBorder="1" applyAlignment="1">
      <alignment horizontal="center" vertical="center"/>
    </xf>
    <xf numFmtId="3" fontId="4" fillId="38" borderId="30" xfId="0" applyNumberFormat="1" applyFont="1" applyFill="1" applyBorder="1" applyAlignment="1">
      <alignment horizontal="center" vertical="center"/>
    </xf>
    <xf numFmtId="3" fontId="4" fillId="39" borderId="20" xfId="0" applyNumberFormat="1" applyFont="1" applyFill="1" applyBorder="1" applyAlignment="1">
      <alignment horizontal="center" vertical="center"/>
    </xf>
    <xf numFmtId="3" fontId="4" fillId="39" borderId="11" xfId="0" applyNumberFormat="1" applyFont="1" applyFill="1" applyBorder="1" applyAlignment="1">
      <alignment horizontal="center" vertical="center"/>
    </xf>
    <xf numFmtId="3" fontId="4" fillId="39" borderId="21" xfId="0" applyNumberFormat="1" applyFont="1" applyFill="1" applyBorder="1" applyAlignment="1">
      <alignment horizontal="center" vertical="center"/>
    </xf>
    <xf numFmtId="3" fontId="4" fillId="39" borderId="22" xfId="0" applyNumberFormat="1" applyFont="1" applyFill="1" applyBorder="1" applyAlignment="1">
      <alignment horizontal="center" vertical="center"/>
    </xf>
    <xf numFmtId="3" fontId="4" fillId="39" borderId="0" xfId="0" applyNumberFormat="1" applyFont="1" applyFill="1" applyBorder="1" applyAlignment="1">
      <alignment horizontal="center" vertical="center"/>
    </xf>
    <xf numFmtId="3" fontId="4" fillId="39" borderId="23" xfId="0" applyNumberFormat="1" applyFont="1" applyFill="1" applyBorder="1" applyAlignment="1">
      <alignment horizontal="center" vertical="center"/>
    </xf>
    <xf numFmtId="3" fontId="4" fillId="39" borderId="24" xfId="0" applyNumberFormat="1" applyFont="1" applyFill="1" applyBorder="1" applyAlignment="1">
      <alignment horizontal="center" vertical="center"/>
    </xf>
    <xf numFmtId="3" fontId="4" fillId="39" borderId="10" xfId="0" applyNumberFormat="1" applyFont="1" applyFill="1" applyBorder="1" applyAlignment="1">
      <alignment horizontal="center" vertical="center"/>
    </xf>
    <xf numFmtId="3" fontId="4" fillId="39" borderId="25" xfId="0" applyNumberFormat="1" applyFont="1" applyFill="1" applyBorder="1" applyAlignment="1">
      <alignment horizontal="center" vertical="center"/>
    </xf>
    <xf numFmtId="3" fontId="4" fillId="0" borderId="13" xfId="0" applyNumberFormat="1" applyFont="1" applyBorder="1" applyAlignment="1">
      <alignment horizontal="center" vertical="center"/>
    </xf>
    <xf numFmtId="3" fontId="4" fillId="0" borderId="26" xfId="0" applyNumberFormat="1" applyFont="1" applyBorder="1" applyAlignment="1">
      <alignment horizontal="center" vertical="center"/>
    </xf>
    <xf numFmtId="3" fontId="4" fillId="0" borderId="27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36" fillId="18" borderId="0" xfId="1" applyFont="1" applyFill="1" applyAlignment="1" applyProtection="1">
      <alignment horizontal="center"/>
    </xf>
    <xf numFmtId="3" fontId="37" fillId="0" borderId="68" xfId="1" applyNumberFormat="1" applyFont="1" applyBorder="1" applyAlignment="1" applyProtection="1">
      <alignment horizontal="center" vertical="center"/>
    </xf>
    <xf numFmtId="3" fontId="37" fillId="0" borderId="69" xfId="1" applyNumberFormat="1" applyFont="1" applyBorder="1" applyAlignment="1" applyProtection="1">
      <alignment horizontal="center" vertical="center"/>
    </xf>
    <xf numFmtId="3" fontId="37" fillId="0" borderId="70" xfId="1" applyNumberFormat="1" applyFont="1" applyBorder="1" applyAlignment="1" applyProtection="1">
      <alignment horizontal="center" vertical="center"/>
    </xf>
    <xf numFmtId="3" fontId="37" fillId="0" borderId="71" xfId="1" applyNumberFormat="1" applyFont="1" applyBorder="1" applyAlignment="1" applyProtection="1">
      <alignment horizontal="center" vertical="center"/>
    </xf>
    <xf numFmtId="3" fontId="37" fillId="0" borderId="72" xfId="1" applyNumberFormat="1" applyFont="1" applyBorder="1" applyAlignment="1" applyProtection="1">
      <alignment horizontal="center" vertical="center"/>
    </xf>
    <xf numFmtId="3" fontId="37" fillId="0" borderId="73" xfId="1" applyNumberFormat="1" applyFont="1" applyBorder="1" applyAlignment="1" applyProtection="1">
      <alignment horizontal="center" vertical="center"/>
    </xf>
    <xf numFmtId="3" fontId="0" fillId="27" borderId="63" xfId="0" applyNumberFormat="1" applyFill="1" applyBorder="1" applyAlignment="1">
      <alignment horizontal="center" vertical="center" textRotation="90"/>
    </xf>
    <xf numFmtId="3" fontId="0" fillId="27" borderId="31" xfId="0" applyNumberFormat="1" applyFill="1" applyBorder="1" applyAlignment="1">
      <alignment horizontal="center" vertical="center" textRotation="90"/>
    </xf>
    <xf numFmtId="3" fontId="0" fillId="27" borderId="64" xfId="0" applyNumberFormat="1" applyFill="1" applyBorder="1" applyAlignment="1">
      <alignment horizontal="center" vertical="center" textRotation="90"/>
    </xf>
    <xf numFmtId="3" fontId="0" fillId="27" borderId="63" xfId="0" applyNumberFormat="1" applyFill="1" applyBorder="1" applyAlignment="1">
      <alignment horizontal="center" vertical="center"/>
    </xf>
    <xf numFmtId="3" fontId="0" fillId="27" borderId="31" xfId="0" applyNumberFormat="1" applyFill="1" applyBorder="1" applyAlignment="1">
      <alignment horizontal="center" vertical="center"/>
    </xf>
    <xf numFmtId="3" fontId="0" fillId="27" borderId="64" xfId="0" applyNumberFormat="1" applyFill="1" applyBorder="1" applyAlignment="1">
      <alignment horizontal="center" vertical="center"/>
    </xf>
    <xf numFmtId="3" fontId="7" fillId="3" borderId="0" xfId="1" applyNumberFormat="1" applyFill="1" applyAlignment="1" applyProtection="1">
      <alignment horizontal="center"/>
    </xf>
    <xf numFmtId="3" fontId="0" fillId="14" borderId="5" xfId="0" applyNumberFormat="1" applyFill="1" applyBorder="1" applyAlignment="1">
      <alignment horizontal="center"/>
    </xf>
    <xf numFmtId="3" fontId="0" fillId="14" borderId="7" xfId="0" applyNumberFormat="1" applyFill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/>
    </xf>
    <xf numFmtId="0" fontId="37" fillId="11" borderId="5" xfId="1" applyFont="1" applyFill="1" applyBorder="1" applyAlignment="1" applyProtection="1">
      <alignment horizontal="center"/>
    </xf>
    <xf numFmtId="0" fontId="37" fillId="11" borderId="6" xfId="1" applyFont="1" applyFill="1" applyBorder="1" applyAlignment="1" applyProtection="1">
      <alignment horizontal="center"/>
    </xf>
    <xf numFmtId="0" fontId="37" fillId="11" borderId="7" xfId="1" applyFont="1" applyFill="1" applyBorder="1" applyAlignment="1" applyProtection="1">
      <alignment horizontal="center"/>
    </xf>
    <xf numFmtId="0" fontId="3" fillId="11" borderId="15" xfId="0" applyFont="1" applyFill="1" applyBorder="1" applyAlignment="1">
      <alignment horizontal="center" vertical="center" textRotation="90"/>
    </xf>
    <xf numFmtId="0" fontId="3" fillId="11" borderId="0" xfId="0" applyFont="1" applyFill="1" applyBorder="1" applyAlignment="1">
      <alignment horizontal="center" vertical="center" textRotation="90"/>
    </xf>
    <xf numFmtId="0" fontId="3" fillId="5" borderId="15" xfId="0" applyFont="1" applyFill="1" applyBorder="1" applyAlignment="1">
      <alignment horizontal="center" vertical="center" textRotation="90"/>
    </xf>
    <xf numFmtId="0" fontId="3" fillId="5" borderId="0" xfId="0" applyFont="1" applyFill="1" applyBorder="1" applyAlignment="1">
      <alignment horizontal="center" vertical="center" textRotation="90"/>
    </xf>
    <xf numFmtId="0" fontId="31" fillId="16" borderId="15" xfId="0" applyFont="1" applyFill="1" applyBorder="1" applyAlignment="1">
      <alignment horizontal="center" vertical="center" textRotation="90"/>
    </xf>
    <xf numFmtId="0" fontId="31" fillId="16" borderId="0" xfId="0" applyFont="1" applyFill="1" applyBorder="1" applyAlignment="1">
      <alignment horizontal="center" vertical="center" textRotation="90"/>
    </xf>
    <xf numFmtId="0" fontId="3" fillId="28" borderId="15" xfId="0" applyFont="1" applyFill="1" applyBorder="1" applyAlignment="1">
      <alignment horizontal="center" vertical="center" textRotation="90"/>
    </xf>
    <xf numFmtId="0" fontId="3" fillId="28" borderId="0" xfId="0" applyFont="1" applyFill="1" applyBorder="1" applyAlignment="1">
      <alignment horizontal="center" vertical="center" textRotation="90"/>
    </xf>
    <xf numFmtId="0" fontId="3" fillId="0" borderId="2" xfId="0" applyFont="1" applyBorder="1" applyAlignment="1">
      <alignment horizontal="center" textRotation="90"/>
    </xf>
    <xf numFmtId="0" fontId="3" fillId="0" borderId="65" xfId="0" applyFont="1" applyBorder="1" applyAlignment="1">
      <alignment horizontal="center" textRotation="90"/>
    </xf>
    <xf numFmtId="0" fontId="3" fillId="0" borderId="3" xfId="0" applyFont="1" applyBorder="1" applyAlignment="1">
      <alignment horizontal="center" textRotation="90"/>
    </xf>
    <xf numFmtId="0" fontId="11" fillId="11" borderId="26" xfId="0" applyFont="1" applyFill="1" applyBorder="1" applyAlignment="1">
      <alignment horizontal="center" vertical="center" textRotation="90"/>
    </xf>
    <xf numFmtId="0" fontId="11" fillId="11" borderId="43" xfId="0" applyFont="1" applyFill="1" applyBorder="1" applyAlignment="1">
      <alignment horizontal="center" vertical="center" textRotation="90"/>
    </xf>
    <xf numFmtId="0" fontId="11" fillId="11" borderId="27" xfId="0" applyFont="1" applyFill="1" applyBorder="1" applyAlignment="1">
      <alignment horizontal="center" vertical="center" textRotation="90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16" borderId="15" xfId="0" applyFont="1" applyFill="1" applyBorder="1" applyAlignment="1">
      <alignment horizontal="center" vertical="center" textRotation="90"/>
    </xf>
    <xf numFmtId="0" fontId="3" fillId="16" borderId="0" xfId="0" applyFont="1" applyFill="1" applyBorder="1" applyAlignment="1">
      <alignment horizontal="center" vertical="center" textRotation="90"/>
    </xf>
    <xf numFmtId="3" fontId="3" fillId="11" borderId="5" xfId="0" applyNumberFormat="1" applyFont="1" applyFill="1" applyBorder="1" applyAlignment="1">
      <alignment horizontal="center"/>
    </xf>
    <xf numFmtId="3" fontId="3" fillId="11" borderId="6" xfId="0" applyNumberFormat="1" applyFont="1" applyFill="1" applyBorder="1" applyAlignment="1">
      <alignment horizontal="center"/>
    </xf>
    <xf numFmtId="3" fontId="3" fillId="11" borderId="7" xfId="0" applyNumberFormat="1" applyFont="1" applyFill="1" applyBorder="1" applyAlignment="1">
      <alignment horizontal="center"/>
    </xf>
    <xf numFmtId="3" fontId="31" fillId="0" borderId="2" xfId="0" applyNumberFormat="1" applyFont="1" applyBorder="1" applyAlignment="1">
      <alignment horizontal="center" vertical="center" textRotation="90"/>
    </xf>
    <xf numFmtId="3" fontId="31" fillId="0" borderId="65" xfId="0" applyNumberFormat="1" applyFont="1" applyBorder="1" applyAlignment="1">
      <alignment horizontal="center" vertical="center" textRotation="90"/>
    </xf>
    <xf numFmtId="3" fontId="31" fillId="0" borderId="3" xfId="0" applyNumberFormat="1" applyFont="1" applyBorder="1" applyAlignment="1">
      <alignment horizontal="center" vertical="center" textRotation="90"/>
    </xf>
    <xf numFmtId="3" fontId="33" fillId="0" borderId="1" xfId="0" applyNumberFormat="1" applyFont="1" applyBorder="1" applyAlignment="1">
      <alignment horizontal="center" vertical="center" textRotation="90"/>
    </xf>
    <xf numFmtId="3" fontId="2" fillId="0" borderId="2" xfId="0" applyNumberFormat="1" applyFont="1" applyBorder="1" applyAlignment="1">
      <alignment horizontal="center" vertical="center" textRotation="90"/>
    </xf>
    <xf numFmtId="3" fontId="2" fillId="0" borderId="65" xfId="0" applyNumberFormat="1" applyFont="1" applyBorder="1" applyAlignment="1">
      <alignment horizontal="center" vertical="center" textRotation="90"/>
    </xf>
    <xf numFmtId="3" fontId="2" fillId="0" borderId="3" xfId="0" applyNumberFormat="1" applyFont="1" applyBorder="1" applyAlignment="1">
      <alignment horizontal="center" vertical="center" textRotation="90"/>
    </xf>
    <xf numFmtId="3" fontId="37" fillId="3" borderId="0" xfId="1" applyNumberFormat="1" applyFont="1" applyFill="1" applyAlignment="1" applyProtection="1">
      <alignment horizontal="center"/>
    </xf>
    <xf numFmtId="3" fontId="3" fillId="11" borderId="2" xfId="0" applyNumberFormat="1" applyFont="1" applyFill="1" applyBorder="1" applyAlignment="1">
      <alignment horizontal="center" vertical="center"/>
    </xf>
    <xf numFmtId="3" fontId="3" fillId="11" borderId="65" xfId="0" applyNumberFormat="1" applyFont="1" applyFill="1" applyBorder="1" applyAlignment="1">
      <alignment horizontal="center" vertical="center"/>
    </xf>
    <xf numFmtId="3" fontId="3" fillId="11" borderId="3" xfId="0" applyNumberFormat="1" applyFont="1" applyFill="1" applyBorder="1" applyAlignment="1">
      <alignment horizontal="center" vertical="center"/>
    </xf>
    <xf numFmtId="3" fontId="3" fillId="0" borderId="13" xfId="0" applyNumberFormat="1" applyFont="1" applyBorder="1" applyAlignment="1">
      <alignment horizontal="center"/>
    </xf>
    <xf numFmtId="3" fontId="31" fillId="0" borderId="29" xfId="0" applyNumberFormat="1" applyFont="1" applyBorder="1" applyAlignment="1">
      <alignment horizontal="center"/>
    </xf>
    <xf numFmtId="3" fontId="31" fillId="0" borderId="28" xfId="0" applyNumberFormat="1" applyFont="1" applyBorder="1" applyAlignment="1">
      <alignment horizontal="center"/>
    </xf>
    <xf numFmtId="3" fontId="31" fillId="0" borderId="30" xfId="0" applyNumberFormat="1" applyFont="1" applyBorder="1" applyAlignment="1">
      <alignment horizontal="center"/>
    </xf>
    <xf numFmtId="3" fontId="33" fillId="0" borderId="29" xfId="0" applyNumberFormat="1" applyFont="1" applyBorder="1" applyAlignment="1">
      <alignment horizontal="center"/>
    </xf>
    <xf numFmtId="3" fontId="33" fillId="0" borderId="28" xfId="0" applyNumberFormat="1" applyFont="1" applyBorder="1" applyAlignment="1">
      <alignment horizontal="center"/>
    </xf>
    <xf numFmtId="3" fontId="33" fillId="0" borderId="30" xfId="0" applyNumberFormat="1" applyFont="1" applyBorder="1" applyAlignment="1">
      <alignment horizontal="center"/>
    </xf>
    <xf numFmtId="3" fontId="3" fillId="0" borderId="29" xfId="0" applyNumberFormat="1" applyFont="1" applyBorder="1" applyAlignment="1">
      <alignment horizontal="center"/>
    </xf>
    <xf numFmtId="3" fontId="3" fillId="0" borderId="28" xfId="0" applyNumberFormat="1" applyFont="1" applyBorder="1" applyAlignment="1">
      <alignment horizontal="center"/>
    </xf>
    <xf numFmtId="3" fontId="3" fillId="0" borderId="30" xfId="0" applyNumberFormat="1" applyFont="1" applyBorder="1" applyAlignment="1">
      <alignment horizontal="center"/>
    </xf>
    <xf numFmtId="4" fontId="37" fillId="16" borderId="29" xfId="1" applyNumberFormat="1" applyFont="1" applyFill="1" applyBorder="1" applyAlignment="1" applyProtection="1">
      <alignment horizontal="center"/>
    </xf>
    <xf numFmtId="4" fontId="37" fillId="16" borderId="28" xfId="1" applyNumberFormat="1" applyFont="1" applyFill="1" applyBorder="1" applyAlignment="1" applyProtection="1">
      <alignment horizontal="center"/>
    </xf>
    <xf numFmtId="4" fontId="37" fillId="16" borderId="30" xfId="1" applyNumberFormat="1" applyFont="1" applyFill="1" applyBorder="1" applyAlignment="1" applyProtection="1">
      <alignment horizontal="center"/>
    </xf>
    <xf numFmtId="167" fontId="42" fillId="9" borderId="28" xfId="0" applyNumberFormat="1" applyFont="1" applyFill="1" applyBorder="1" applyAlignment="1">
      <alignment horizontal="right" vertical="center" readingOrder="2"/>
    </xf>
    <xf numFmtId="168" fontId="55" fillId="0" borderId="0" xfId="0" applyNumberFormat="1" applyFont="1" applyAlignment="1">
      <alignment horizontal="center" readingOrder="2"/>
    </xf>
    <xf numFmtId="167" fontId="36" fillId="11" borderId="0" xfId="1" applyNumberFormat="1" applyFont="1" applyFill="1" applyAlignment="1" applyProtection="1">
      <alignment horizontal="center" vertical="center" wrapText="1" readingOrder="2"/>
    </xf>
    <xf numFmtId="167" fontId="56" fillId="0" borderId="0" xfId="0" applyNumberFormat="1" applyFont="1" applyAlignment="1">
      <alignment horizontal="center" readingOrder="2"/>
    </xf>
    <xf numFmtId="3" fontId="3" fillId="0" borderId="0" xfId="0" applyNumberFormat="1" applyFont="1" applyAlignment="1">
      <alignment horizontal="center"/>
    </xf>
    <xf numFmtId="3" fontId="3" fillId="11" borderId="0" xfId="0" applyNumberFormat="1" applyFont="1" applyFill="1" applyAlignment="1">
      <alignment horizontal="center"/>
    </xf>
    <xf numFmtId="3" fontId="60" fillId="11" borderId="0" xfId="1" applyNumberFormat="1" applyFont="1" applyFill="1" applyAlignment="1" applyProtection="1">
      <alignment horizontal="center"/>
    </xf>
    <xf numFmtId="3" fontId="3" fillId="24" borderId="29" xfId="0" applyNumberFormat="1" applyFont="1" applyFill="1" applyBorder="1" applyAlignment="1">
      <alignment horizontal="center"/>
    </xf>
    <xf numFmtId="3" fontId="3" fillId="24" borderId="28" xfId="0" applyNumberFormat="1" applyFont="1" applyFill="1" applyBorder="1" applyAlignment="1">
      <alignment horizontal="center"/>
    </xf>
    <xf numFmtId="3" fontId="3" fillId="24" borderId="30" xfId="0" applyNumberFormat="1" applyFont="1" applyFill="1" applyBorder="1" applyAlignment="1">
      <alignment horizontal="center"/>
    </xf>
    <xf numFmtId="3" fontId="3" fillId="5" borderId="29" xfId="0" applyNumberFormat="1" applyFont="1" applyFill="1" applyBorder="1" applyAlignment="1">
      <alignment horizontal="center"/>
    </xf>
    <xf numFmtId="3" fontId="3" fillId="5" borderId="28" xfId="0" applyNumberFormat="1" applyFont="1" applyFill="1" applyBorder="1" applyAlignment="1">
      <alignment horizontal="center"/>
    </xf>
    <xf numFmtId="3" fontId="3" fillId="5" borderId="30" xfId="0" applyNumberFormat="1" applyFont="1" applyFill="1" applyBorder="1" applyAlignment="1">
      <alignment horizontal="center"/>
    </xf>
    <xf numFmtId="3" fontId="3" fillId="5" borderId="13" xfId="0" applyNumberFormat="1" applyFont="1" applyFill="1" applyBorder="1" applyAlignment="1">
      <alignment horizontal="center"/>
    </xf>
    <xf numFmtId="4" fontId="4" fillId="0" borderId="13" xfId="0" applyNumberFormat="1" applyFont="1" applyBorder="1" applyAlignment="1">
      <alignment horizontal="center" vertical="center"/>
    </xf>
    <xf numFmtId="0" fontId="66" fillId="0" borderId="1" xfId="0" applyFont="1" applyBorder="1" applyAlignment="1">
      <alignment horizontal="center"/>
    </xf>
    <xf numFmtId="0" fontId="66" fillId="26" borderId="1" xfId="0" applyFont="1" applyFill="1" applyBorder="1" applyAlignment="1">
      <alignment horizontal="center"/>
    </xf>
    <xf numFmtId="3" fontId="66" fillId="0" borderId="1" xfId="0" applyNumberFormat="1" applyFont="1" applyBorder="1" applyAlignment="1">
      <alignment horizontal="center"/>
    </xf>
    <xf numFmtId="4" fontId="3" fillId="0" borderId="13" xfId="0" applyNumberFormat="1" applyFont="1" applyBorder="1" applyAlignment="1">
      <alignment horizontal="center"/>
    </xf>
    <xf numFmtId="3" fontId="70" fillId="12" borderId="13" xfId="0" applyNumberFormat="1" applyFont="1" applyFill="1" applyBorder="1" applyAlignment="1">
      <alignment horizontal="center" vertical="center"/>
    </xf>
    <xf numFmtId="3" fontId="70" fillId="12" borderId="27" xfId="0" applyNumberFormat="1" applyFont="1" applyFill="1" applyBorder="1" applyAlignment="1">
      <alignment horizontal="center" vertical="center"/>
    </xf>
    <xf numFmtId="3" fontId="70" fillId="12" borderId="32" xfId="0" applyNumberFormat="1" applyFont="1" applyFill="1" applyBorder="1" applyAlignment="1">
      <alignment horizontal="center" vertical="center"/>
    </xf>
    <xf numFmtId="1" fontId="31" fillId="18" borderId="18" xfId="0" applyNumberFormat="1" applyFont="1" applyFill="1" applyBorder="1"/>
    <xf numFmtId="4" fontId="58" fillId="3" borderId="0" xfId="1" applyNumberFormat="1" applyFont="1" applyFill="1" applyAlignment="1" applyProtection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66FF66"/>
      <color rgb="FF99FF66"/>
      <color rgb="FF00FFFF"/>
      <color rgb="FF0099FF"/>
      <color rgb="FFFFFF66"/>
      <color rgb="FFFF99FF"/>
      <color rgb="FFFF33CC"/>
      <color rgb="FFCCECFF"/>
      <color rgb="FF66FF99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rotX val="10"/>
      <c:rAngAx val="1"/>
    </c:view3D>
    <c:sideWall>
      <c:spPr>
        <a:gradFill>
          <a:gsLst>
            <a:gs pos="0">
              <a:srgbClr val="03D4A8"/>
            </a:gs>
            <a:gs pos="25000">
              <a:srgbClr val="21D6E0"/>
            </a:gs>
            <a:gs pos="75000">
              <a:srgbClr val="0087E6"/>
            </a:gs>
            <a:gs pos="100000">
              <a:srgbClr val="005CBF"/>
            </a:gs>
          </a:gsLst>
          <a:lin ang="5400000" scaled="0"/>
        </a:gradFill>
        <a:ln>
          <a:solidFill>
            <a:schemeClr val="accent4"/>
          </a:solidFill>
        </a:ln>
      </c:spPr>
    </c:sideWall>
    <c:backWall>
      <c:spPr>
        <a:gradFill>
          <a:gsLst>
            <a:gs pos="0">
              <a:srgbClr val="03D4A8"/>
            </a:gs>
            <a:gs pos="25000">
              <a:srgbClr val="21D6E0"/>
            </a:gs>
            <a:gs pos="75000">
              <a:srgbClr val="0087E6"/>
            </a:gs>
            <a:gs pos="100000">
              <a:srgbClr val="005CBF"/>
            </a:gs>
          </a:gsLst>
          <a:lin ang="5400000" scaled="0"/>
        </a:gradFill>
        <a:ln>
          <a:solidFill>
            <a:schemeClr val="accent4"/>
          </a:solidFill>
        </a:ln>
      </c:spPr>
    </c:backWall>
    <c:plotArea>
      <c:layout>
        <c:manualLayout>
          <c:layoutTarget val="inner"/>
          <c:xMode val="edge"/>
          <c:yMode val="edge"/>
          <c:x val="4.4762222518795934E-2"/>
          <c:y val="7.4548702245552642E-2"/>
          <c:w val="0.7806600017694415"/>
          <c:h val="0.8326195683872849"/>
        </c:manualLayout>
      </c:layout>
      <c:bar3DChart>
        <c:barDir val="col"/>
        <c:grouping val="clustered"/>
        <c:ser>
          <c:idx val="0"/>
          <c:order val="0"/>
          <c:tx>
            <c:strRef>
              <c:f>'فروش محصولات '!$T$13</c:f>
              <c:strCache>
                <c:ptCount val="1"/>
                <c:pt idx="0">
                  <c:v>درصد مبلغ فروش خالص</c:v>
                </c:pt>
              </c:strCache>
            </c:strRef>
          </c:tx>
          <c:cat>
            <c:strRef>
              <c:f>'فروش محصولات '!$S$14:$S$17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جمع</c:v>
                </c:pt>
              </c:strCache>
            </c:strRef>
          </c:cat>
          <c:val>
            <c:numRef>
              <c:f>'فروش محصولات '!$T$14:$T$17</c:f>
              <c:numCache>
                <c:formatCode>#,##0</c:formatCode>
                <c:ptCount val="4"/>
                <c:pt idx="0">
                  <c:v>76.422934777914193</c:v>
                </c:pt>
                <c:pt idx="1">
                  <c:v>16.350253274678085</c:v>
                </c:pt>
                <c:pt idx="2">
                  <c:v>7.2268119474077128</c:v>
                </c:pt>
                <c:pt idx="3">
                  <c:v>99.999999999999986</c:v>
                </c:pt>
              </c:numCache>
            </c:numRef>
          </c:val>
        </c:ser>
        <c:ser>
          <c:idx val="1"/>
          <c:order val="1"/>
          <c:tx>
            <c:strRef>
              <c:f>'فروش محصولات '!$V$13</c:f>
              <c:strCache>
                <c:ptCount val="1"/>
                <c:pt idx="0">
                  <c:v>مبلغ فروش خالص</c:v>
                </c:pt>
              </c:strCache>
            </c:strRef>
          </c:tx>
          <c:spPr>
            <a:gradFill>
              <a:gsLst>
                <a:gs pos="0">
                  <a:srgbClr val="FFF200"/>
                </a:gs>
                <a:gs pos="45000">
                  <a:srgbClr val="FF7A00"/>
                </a:gs>
                <a:gs pos="70000">
                  <a:srgbClr val="FF0300"/>
                </a:gs>
                <a:gs pos="100000">
                  <a:srgbClr val="4D0808"/>
                </a:gs>
              </a:gsLst>
              <a:lin ang="8100000" scaled="0"/>
            </a:gradFill>
            <a:ln cmpd="dbl">
              <a:gradFill flip="none" rotWithShape="1">
                <a:gsLst>
                  <a:gs pos="53000">
                    <a:srgbClr val="1F497D">
                      <a:lumMod val="60000"/>
                      <a:lumOff val="40000"/>
                      <a:alpha val="34000"/>
                    </a:srgbClr>
                  </a:gs>
                  <a:gs pos="50000">
                    <a:srgbClr val="4F81BD">
                      <a:tint val="44500"/>
                      <a:satMod val="160000"/>
                    </a:srgbClr>
                  </a:gs>
                  <a:gs pos="100000">
                    <a:srgbClr val="4F81BD">
                      <a:tint val="23500"/>
                      <a:satMod val="160000"/>
                    </a:srgbClr>
                  </a:gs>
                </a:gsLst>
                <a:lin ang="8100000" scaled="1"/>
                <a:tileRect/>
              </a:gradFill>
            </a:ln>
          </c:spPr>
          <c:cat>
            <c:strRef>
              <c:f>'فروش محصولات '!$S$14:$S$17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جمع</c:v>
                </c:pt>
              </c:strCache>
            </c:strRef>
          </c:cat>
          <c:val>
            <c:numRef>
              <c:f>'فروش محصولات '!$V$14:$V$17</c:f>
              <c:numCache>
                <c:formatCode>#,##0</c:formatCode>
                <c:ptCount val="4"/>
                <c:pt idx="0">
                  <c:v>123864000000</c:v>
                </c:pt>
                <c:pt idx="1">
                  <c:v>26500000000</c:v>
                </c:pt>
                <c:pt idx="2">
                  <c:v>11713000000</c:v>
                </c:pt>
                <c:pt idx="3">
                  <c:v>162077000000</c:v>
                </c:pt>
              </c:numCache>
            </c:numRef>
          </c:val>
        </c:ser>
        <c:ser>
          <c:idx val="2"/>
          <c:order val="2"/>
          <c:tx>
            <c:strRef>
              <c:f>'فروش محصولات '!$X$13</c:f>
              <c:strCache>
                <c:ptCount val="1"/>
                <c:pt idx="0">
                  <c:v>مقدار - فروش </c:v>
                </c:pt>
              </c:strCache>
            </c:strRef>
          </c:tx>
          <c:cat>
            <c:strRef>
              <c:f>'فروش محصولات '!$S$14:$S$17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جمع</c:v>
                </c:pt>
              </c:strCache>
            </c:strRef>
          </c:cat>
          <c:val>
            <c:numRef>
              <c:f>'فروش محصولات '!$X$14:$X$17</c:f>
              <c:numCache>
                <c:formatCode>#,##0</c:formatCode>
                <c:ptCount val="4"/>
                <c:pt idx="0">
                  <c:v>9960</c:v>
                </c:pt>
                <c:pt idx="1">
                  <c:v>11000</c:v>
                </c:pt>
                <c:pt idx="2">
                  <c:v>9350</c:v>
                </c:pt>
                <c:pt idx="3">
                  <c:v>30310</c:v>
                </c:pt>
              </c:numCache>
            </c:numRef>
          </c:val>
        </c:ser>
        <c:gapWidth val="246"/>
        <c:gapDepth val="213"/>
        <c:shape val="cylinder"/>
        <c:axId val="61546880"/>
        <c:axId val="61548416"/>
        <c:axId val="0"/>
      </c:bar3DChart>
      <c:catAx>
        <c:axId val="61546880"/>
        <c:scaling>
          <c:orientation val="minMax"/>
        </c:scaling>
        <c:axPos val="b"/>
        <c:tickLblPos val="nextTo"/>
        <c:crossAx val="61548416"/>
        <c:crosses val="autoZero"/>
        <c:auto val="1"/>
        <c:lblAlgn val="ctr"/>
        <c:lblOffset val="100"/>
      </c:catAx>
      <c:valAx>
        <c:axId val="61548416"/>
        <c:scaling>
          <c:orientation val="minMax"/>
        </c:scaling>
        <c:axPos val="l"/>
        <c:majorGridlines/>
        <c:numFmt formatCode="#,##0" sourceLinked="1"/>
        <c:tickLblPos val="nextTo"/>
        <c:crossAx val="615468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0863679077152393"/>
          <c:y val="0.21741705363752659"/>
          <c:w val="8.9347956084614016E-2"/>
          <c:h val="0.5608920519550441"/>
        </c:manualLayout>
      </c:layout>
      <c:spPr>
        <a:solidFill>
          <a:schemeClr val="tx1"/>
        </a:solidFill>
        <a:ln>
          <a:solidFill>
            <a:schemeClr val="bg2">
              <a:lumMod val="10000"/>
            </a:schemeClr>
          </a:solidFill>
        </a:ln>
      </c:spPr>
      <c:txPr>
        <a:bodyPr/>
        <a:lstStyle/>
        <a:p>
          <a:pPr>
            <a:defRPr>
              <a:solidFill>
                <a:srgbClr val="FFFF00"/>
              </a:solidFill>
            </a:defRPr>
          </a:pPr>
          <a:endParaRPr lang="en-US"/>
        </a:p>
      </c:txPr>
    </c:legend>
    <c:plotVisOnly val="1"/>
  </c:chart>
  <c:spPr>
    <a:gradFill>
      <a:gsLst>
        <a:gs pos="0">
          <a:schemeClr val="accent1">
            <a:tint val="66000"/>
            <a:satMod val="160000"/>
          </a:schemeClr>
        </a:gs>
        <a:gs pos="50000">
          <a:schemeClr val="accent1">
            <a:tint val="44500"/>
            <a:satMod val="160000"/>
          </a:schemeClr>
        </a:gs>
        <a:gs pos="100000">
          <a:schemeClr val="accent1">
            <a:tint val="23500"/>
            <a:satMod val="160000"/>
          </a:schemeClr>
        </a:gs>
      </a:gsLst>
      <a:lin ang="5400000" scaled="0"/>
    </a:gradFill>
    <a:ln cap="sq" cmpd="dbl">
      <a:solidFill>
        <a:srgbClr val="EEECE1">
          <a:lumMod val="50000"/>
        </a:srgbClr>
      </a:solidFill>
      <a:miter lim="800000"/>
    </a:ln>
    <a:effectLst>
      <a:outerShdw dist="50800" sx="1000" sy="1000" algn="ctr" rotWithShape="0">
        <a:srgbClr val="000000"/>
      </a:outerShdw>
    </a:effectLst>
    <a:scene3d>
      <a:camera prst="orthographicFront"/>
      <a:lightRig rig="threePt" dir="t"/>
    </a:scene3d>
    <a:sp3d/>
  </c:spPr>
  <c:txPr>
    <a:bodyPr/>
    <a:lstStyle/>
    <a:p>
      <a:pPr>
        <a:defRPr>
          <a:solidFill>
            <a:srgbClr val="FF0000"/>
          </a:solidFill>
        </a:defRPr>
      </a:pPr>
      <a:endParaRPr lang="en-US"/>
    </a:p>
  </c:txPr>
  <c:printSettings>
    <c:headerFooter/>
    <c:pageMargins b="0.75000000000001077" l="0.70000000000000062" r="0.70000000000000062" t="0.75000000000001077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perspective val="30"/>
    </c:view3D>
    <c:plotArea>
      <c:layout/>
      <c:bar3DChart>
        <c:barDir val="col"/>
        <c:grouping val="clustered"/>
        <c:ser>
          <c:idx val="0"/>
          <c:order val="0"/>
          <c:tx>
            <c:v>خانم ها</c:v>
          </c:tx>
          <c:cat>
            <c:strLit>
              <c:ptCount val="1"/>
              <c:pt idx="0">
                <c:v>ترکیب جنسیت کارکنان </c:v>
              </c:pt>
            </c:strLit>
          </c:cat>
          <c:val>
            <c:numRef>
              <c:f>'مراکز هزینه پرسنل'!$D$34:$O$34</c:f>
              <c:numCache>
                <c:formatCode>General</c:formatCode>
                <c:ptCount val="12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32</c:v>
                </c:pt>
                <c:pt idx="8">
                  <c:v>32</c:v>
                </c:pt>
                <c:pt idx="9">
                  <c:v>32</c:v>
                </c:pt>
                <c:pt idx="10">
                  <c:v>32</c:v>
                </c:pt>
                <c:pt idx="11">
                  <c:v>32</c:v>
                </c:pt>
              </c:numCache>
            </c:numRef>
          </c:val>
        </c:ser>
        <c:ser>
          <c:idx val="1"/>
          <c:order val="1"/>
          <c:tx>
            <c:v>اقایان</c:v>
          </c:tx>
          <c:cat>
            <c:strLit>
              <c:ptCount val="1"/>
              <c:pt idx="0">
                <c:v>ترکیب جنسیت کارکنان </c:v>
              </c:pt>
            </c:strLit>
          </c:cat>
          <c:val>
            <c:numRef>
              <c:f>'مراکز هزینه پرسنل'!$D$35:$O$35</c:f>
              <c:numCache>
                <c:formatCode>General</c:formatCode>
                <c:ptCount val="12"/>
                <c:pt idx="0">
                  <c:v>77</c:v>
                </c:pt>
                <c:pt idx="1">
                  <c:v>77</c:v>
                </c:pt>
                <c:pt idx="2">
                  <c:v>77</c:v>
                </c:pt>
                <c:pt idx="3">
                  <c:v>77</c:v>
                </c:pt>
                <c:pt idx="4">
                  <c:v>77</c:v>
                </c:pt>
                <c:pt idx="5">
                  <c:v>77</c:v>
                </c:pt>
                <c:pt idx="6">
                  <c:v>79</c:v>
                </c:pt>
                <c:pt idx="7">
                  <c:v>58</c:v>
                </c:pt>
                <c:pt idx="8">
                  <c:v>58</c:v>
                </c:pt>
                <c:pt idx="9">
                  <c:v>58</c:v>
                </c:pt>
                <c:pt idx="10">
                  <c:v>58</c:v>
                </c:pt>
                <c:pt idx="11">
                  <c:v>58</c:v>
                </c:pt>
              </c:numCache>
            </c:numRef>
          </c:val>
        </c:ser>
        <c:shape val="box"/>
        <c:axId val="62581760"/>
        <c:axId val="63337216"/>
        <c:axId val="0"/>
      </c:bar3DChart>
      <c:catAx>
        <c:axId val="62581760"/>
        <c:scaling>
          <c:orientation val="minMax"/>
        </c:scaling>
        <c:axPos val="b"/>
        <c:tickLblPos val="nextTo"/>
        <c:crossAx val="63337216"/>
        <c:crosses val="autoZero"/>
        <c:auto val="1"/>
        <c:lblAlgn val="ctr"/>
        <c:lblOffset val="100"/>
      </c:catAx>
      <c:valAx>
        <c:axId val="63337216"/>
        <c:scaling>
          <c:orientation val="minMax"/>
        </c:scaling>
        <c:axPos val="l"/>
        <c:majorGridlines/>
        <c:numFmt formatCode="General" sourceLinked="1"/>
        <c:tickLblPos val="nextTo"/>
        <c:crossAx val="6258176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v>تعداد کل پرسنل سال بودجه</c:v>
          </c:tx>
          <c:val>
            <c:numRef>
              <c:f>'مراکز هزینه پرسنل'!$D$36:$O$36</c:f>
              <c:numCache>
                <c:formatCode>General</c:formatCode>
                <c:ptCount val="12"/>
                <c:pt idx="0">
                  <c:v>127</c:v>
                </c:pt>
                <c:pt idx="1">
                  <c:v>127</c:v>
                </c:pt>
                <c:pt idx="2">
                  <c:v>127</c:v>
                </c:pt>
                <c:pt idx="3">
                  <c:v>127</c:v>
                </c:pt>
                <c:pt idx="4">
                  <c:v>127</c:v>
                </c:pt>
                <c:pt idx="5">
                  <c:v>127</c:v>
                </c:pt>
                <c:pt idx="6">
                  <c:v>129</c:v>
                </c:pt>
                <c:pt idx="7">
                  <c:v>90</c:v>
                </c:pt>
                <c:pt idx="8">
                  <c:v>90</c:v>
                </c:pt>
                <c:pt idx="9">
                  <c:v>90</c:v>
                </c:pt>
                <c:pt idx="10">
                  <c:v>90</c:v>
                </c:pt>
                <c:pt idx="11">
                  <c:v>90</c:v>
                </c:pt>
              </c:numCache>
            </c:numRef>
          </c:val>
        </c:ser>
        <c:axId val="63361024"/>
        <c:axId val="63362560"/>
      </c:barChart>
      <c:catAx>
        <c:axId val="63361024"/>
        <c:scaling>
          <c:orientation val="minMax"/>
        </c:scaling>
        <c:axPos val="b"/>
        <c:tickLblPos val="nextTo"/>
        <c:crossAx val="63362560"/>
        <c:crosses val="autoZero"/>
        <c:auto val="1"/>
        <c:lblAlgn val="ctr"/>
        <c:lblOffset val="100"/>
      </c:catAx>
      <c:valAx>
        <c:axId val="63362560"/>
        <c:scaling>
          <c:orientation val="minMax"/>
        </c:scaling>
        <c:axPos val="l"/>
        <c:majorGridlines/>
        <c:numFmt formatCode="General" sourceLinked="1"/>
        <c:tickLblPos val="nextTo"/>
        <c:crossAx val="63361024"/>
        <c:crosses val="autoZero"/>
        <c:crossBetween val="between"/>
      </c:valAx>
    </c:plotArea>
    <c:legend>
      <c:legendPos val="r"/>
      <c:layout/>
    </c:legend>
    <c:plotVisOnly val="1"/>
  </c:chart>
  <c:spPr>
    <a:solidFill>
      <a:srgbClr val="66FF66"/>
    </a:solidFill>
  </c:spPr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371476</xdr:colOff>
      <xdr:row>17</xdr:row>
      <xdr:rowOff>209549</xdr:rowOff>
    </xdr:from>
    <xdr:to>
      <xdr:col>23</xdr:col>
      <xdr:colOff>1038226</xdr:colOff>
      <xdr:row>28</xdr:row>
      <xdr:rowOff>200024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95250</xdr:colOff>
      <xdr:row>30</xdr:row>
      <xdr:rowOff>357187</xdr:rowOff>
    </xdr:from>
    <xdr:to>
      <xdr:col>17</xdr:col>
      <xdr:colOff>71438</xdr:colOff>
      <xdr:row>33</xdr:row>
      <xdr:rowOff>214313</xdr:rowOff>
    </xdr:to>
    <xdr:sp macro="" textlink="">
      <xdr:nvSpPr>
        <xdr:cNvPr id="2" name="Right Brace 1"/>
        <xdr:cNvSpPr/>
      </xdr:nvSpPr>
      <xdr:spPr>
        <a:xfrm>
          <a:off x="19812000" y="9953625"/>
          <a:ext cx="452438" cy="1023938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16</xdr:col>
      <xdr:colOff>142875</xdr:colOff>
      <xdr:row>15</xdr:row>
      <xdr:rowOff>214312</xdr:rowOff>
    </xdr:from>
    <xdr:to>
      <xdr:col>17</xdr:col>
      <xdr:colOff>47625</xdr:colOff>
      <xdr:row>30</xdr:row>
      <xdr:rowOff>309562</xdr:rowOff>
    </xdr:to>
    <xdr:sp macro="" textlink="">
      <xdr:nvSpPr>
        <xdr:cNvPr id="3" name="Right Brace 2"/>
        <xdr:cNvSpPr/>
      </xdr:nvSpPr>
      <xdr:spPr>
        <a:xfrm>
          <a:off x="19859625" y="5095875"/>
          <a:ext cx="381000" cy="4810125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95251</xdr:colOff>
      <xdr:row>38</xdr:row>
      <xdr:rowOff>11905</xdr:rowOff>
    </xdr:from>
    <xdr:to>
      <xdr:col>17</xdr:col>
      <xdr:colOff>35720</xdr:colOff>
      <xdr:row>48</xdr:row>
      <xdr:rowOff>130968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84667</xdr:colOff>
      <xdr:row>38</xdr:row>
      <xdr:rowOff>1</xdr:rowOff>
    </xdr:from>
    <xdr:to>
      <xdr:col>10</xdr:col>
      <xdr:colOff>346363</xdr:colOff>
      <xdr:row>48</xdr:row>
      <xdr:rowOff>138545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&#1601;&#1585;&#1605;%20%20-%20&#1576;&#1608;&#1583;&#1580;&#1607;.xlsx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&#1601;&#1585;&#1605;%20%20-%20&#1576;&#1608;&#1583;&#1580;&#1607;.xlsx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&#1601;&#1585;&#1605;%20%20-%20&#1576;&#1608;&#1583;&#1580;&#1607;.xlsx" TargetMode="Externa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&#1601;&#1585;&#1605;%20%20-%20&#1576;&#1608;&#1583;&#1580;&#1607;.xlsx" TargetMode="Externa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&#1601;&#1585;&#1605;%20%20-%20&#1576;&#1608;&#1583;&#1580;&#1607;.xlsx" TargetMode="Externa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&#1601;&#1585;&#1605;%20%20-%20&#1576;&#1608;&#1583;&#1580;&#1607;.xlsx" TargetMode="Externa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&#1601;&#1585;&#1605;%20%20-%20&#1576;&#1608;&#1583;&#1580;&#1607;.xlsx" TargetMode="Externa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hyperlink" Target="&#1601;&#1585;&#1605;%20%20-%20&#1576;&#1608;&#1583;&#1580;&#1607;.xlsx" TargetMode="Externa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&#1601;&#1585;&#1605;%20%20-%20&#1576;&#1608;&#1583;&#1580;&#1607;.xlsx" TargetMode="Externa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&#1601;&#1585;&#1605;%20%20-%20&#1576;&#1608;&#1583;&#1580;&#1607;.xlsx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hyperlink" Target="&#1601;&#1585;&#1605;%20%20-%20&#1576;&#1608;&#1583;&#1580;&#1607;.xlsx" TargetMode="Externa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14.bin"/><Relationship Id="rId1" Type="http://schemas.openxmlformats.org/officeDocument/2006/relationships/hyperlink" Target="&#1601;&#1585;&#1605;%20%20-%20&#1576;&#1608;&#1583;&#1580;&#1607;.xlsx" TargetMode="External"/><Relationship Id="rId4" Type="http://schemas.openxmlformats.org/officeDocument/2006/relationships/comments" Target="../comments3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hyperlink" Target="&#1601;&#1585;&#1605;%20%20-%20&#1576;&#1608;&#1583;&#1580;&#1607;.xlsx" TargetMode="Externa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5.bin"/><Relationship Id="rId1" Type="http://schemas.openxmlformats.org/officeDocument/2006/relationships/hyperlink" Target="&#1601;&#1585;&#1605;%20%20-%20&#1576;&#1608;&#1583;&#1580;&#1607;.xlsx" TargetMode="Externa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hyperlink" Target="&#1601;&#1585;&#1605;%20%20-%20&#1576;&#1608;&#1583;&#1580;&#1607;.xlsx" TargetMode="Externa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hyperlink" Target="&#1601;&#1585;&#1605;%20%20-%20&#1576;&#1608;&#1583;&#1580;&#1607;.xlsx" TargetMode="External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16.bin"/><Relationship Id="rId1" Type="http://schemas.openxmlformats.org/officeDocument/2006/relationships/hyperlink" Target="&#1601;&#1585;&#1605;%20%20-%20&#1576;&#1608;&#1583;&#1580;&#1607;.xlsx" TargetMode="Externa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hyperlink" Target="&#1601;&#1585;&#1605;%20%20-%20&#1576;&#1608;&#1583;&#1580;&#1607;.xlsx" TargetMode="Externa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hyperlink" Target="&#1601;&#1585;&#1605;%20%20-%20&#1576;&#1608;&#1583;&#1580;&#1607;.xlsx" TargetMode="External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7.bin"/><Relationship Id="rId1" Type="http://schemas.openxmlformats.org/officeDocument/2006/relationships/hyperlink" Target="&#1601;&#1585;&#1605;%20%20-%20&#1576;&#1608;&#1583;&#1580;&#1607;.xlsx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&#1601;&#1585;&#1605;%20%20-%20&#1576;&#1608;&#1583;&#1580;&#1607;.xlsx" TargetMode="Externa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&#1601;&#1585;&#1605;%20%20-%20&#1576;&#1608;&#1583;&#1580;&#1607;.xlsx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&#1601;&#1585;&#1605;%20%20-%20&#1576;&#1608;&#1583;&#1580;&#1607;.xlsx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&#1601;&#1585;&#1605;%20%20-%20&#1576;&#1608;&#1583;&#1580;&#1607;.xlsx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hyperlink" Target="&#1601;&#1585;&#1605;%20%20-%20&#1576;&#1608;&#1583;&#1580;&#1607;.xlsx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hyperlink" Target="&#1601;&#1585;&#1605;%20%20-%20&#1576;&#1608;&#1583;&#1580;&#1607;.xlsx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&#1601;&#1585;&#1605;%20%20-%20&#1576;&#1608;&#1583;&#1580;&#1607;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F3:H37"/>
  <sheetViews>
    <sheetView topLeftCell="A8" workbookViewId="0">
      <selection activeCell="E18" sqref="E18"/>
    </sheetView>
  </sheetViews>
  <sheetFormatPr defaultColWidth="11.7109375" defaultRowHeight="15"/>
  <cols>
    <col min="1" max="6" width="11.7109375" style="380"/>
    <col min="7" max="7" width="74.7109375" style="380" bestFit="1" customWidth="1"/>
    <col min="8" max="16384" width="11.7109375" style="380"/>
  </cols>
  <sheetData>
    <row r="3" spans="6:8" ht="28.5">
      <c r="G3" s="596" t="s">
        <v>692</v>
      </c>
      <c r="H3" s="596"/>
    </row>
    <row r="4" spans="6:8" ht="15.75" thickBot="1"/>
    <row r="5" spans="6:8" ht="57" customHeight="1" thickTop="1" thickBot="1">
      <c r="G5" s="391" t="s">
        <v>256</v>
      </c>
      <c r="H5" s="392" t="s">
        <v>547</v>
      </c>
    </row>
    <row r="6" spans="6:8" ht="30" thickTop="1" thickBot="1">
      <c r="G6" s="449" t="s">
        <v>548</v>
      </c>
      <c r="H6" s="392">
        <v>1</v>
      </c>
    </row>
    <row r="7" spans="6:8" ht="30" thickTop="1" thickBot="1">
      <c r="G7" s="450" t="s">
        <v>549</v>
      </c>
      <c r="H7" s="392">
        <v>2</v>
      </c>
    </row>
    <row r="8" spans="6:8" ht="30" thickTop="1" thickBot="1">
      <c r="F8" s="448"/>
      <c r="G8" s="450" t="s">
        <v>550</v>
      </c>
      <c r="H8" s="392">
        <v>3</v>
      </c>
    </row>
    <row r="9" spans="6:8" ht="30" thickTop="1" thickBot="1">
      <c r="G9" s="554" t="s">
        <v>551</v>
      </c>
      <c r="H9" s="392">
        <v>4</v>
      </c>
    </row>
    <row r="10" spans="6:8" ht="30" thickTop="1" thickBot="1">
      <c r="G10" s="554" t="s">
        <v>552</v>
      </c>
      <c r="H10" s="392">
        <v>5</v>
      </c>
    </row>
    <row r="11" spans="6:8" ht="30" thickTop="1" thickBot="1">
      <c r="G11" s="555" t="s">
        <v>553</v>
      </c>
      <c r="H11" s="392">
        <v>6</v>
      </c>
    </row>
    <row r="12" spans="6:8" ht="30" thickTop="1" thickBot="1">
      <c r="G12" s="555" t="s">
        <v>388</v>
      </c>
      <c r="H12" s="392">
        <v>7</v>
      </c>
    </row>
    <row r="13" spans="6:8" ht="30" thickTop="1" thickBot="1">
      <c r="G13" s="395" t="s">
        <v>554</v>
      </c>
      <c r="H13" s="392">
        <v>8</v>
      </c>
    </row>
    <row r="14" spans="6:8" ht="30" thickTop="1" thickBot="1">
      <c r="G14" s="395" t="s">
        <v>555</v>
      </c>
      <c r="H14" s="392">
        <v>9</v>
      </c>
    </row>
    <row r="15" spans="6:8" ht="30" thickTop="1" thickBot="1">
      <c r="G15" s="395" t="s">
        <v>556</v>
      </c>
      <c r="H15" s="392">
        <v>10</v>
      </c>
    </row>
    <row r="16" spans="6:8" ht="30" thickTop="1" thickBot="1">
      <c r="G16" s="395" t="s">
        <v>557</v>
      </c>
      <c r="H16" s="392">
        <v>11</v>
      </c>
    </row>
    <row r="17" spans="7:8" ht="30" thickTop="1" thickBot="1">
      <c r="G17" s="395" t="s">
        <v>558</v>
      </c>
      <c r="H17" s="392">
        <v>12</v>
      </c>
    </row>
    <row r="18" spans="7:8" ht="30" thickTop="1" thickBot="1">
      <c r="G18" s="395" t="s">
        <v>559</v>
      </c>
      <c r="H18" s="392">
        <v>13</v>
      </c>
    </row>
    <row r="19" spans="7:8" ht="30" thickTop="1" thickBot="1">
      <c r="G19" s="396" t="s">
        <v>560</v>
      </c>
      <c r="H19" s="392">
        <v>14</v>
      </c>
    </row>
    <row r="20" spans="7:8" ht="30" thickTop="1" thickBot="1">
      <c r="G20" s="396" t="s">
        <v>561</v>
      </c>
      <c r="H20" s="392">
        <v>15</v>
      </c>
    </row>
    <row r="21" spans="7:8" ht="30" thickTop="1" thickBot="1">
      <c r="G21" s="396" t="s">
        <v>562</v>
      </c>
      <c r="H21" s="392">
        <v>16</v>
      </c>
    </row>
    <row r="22" spans="7:8" ht="30" thickTop="1" thickBot="1">
      <c r="G22" s="396" t="s">
        <v>563</v>
      </c>
      <c r="H22" s="392">
        <v>17</v>
      </c>
    </row>
    <row r="23" spans="7:8" ht="30" thickTop="1" thickBot="1">
      <c r="G23" s="396" t="s">
        <v>681</v>
      </c>
      <c r="H23" s="392">
        <v>18</v>
      </c>
    </row>
    <row r="24" spans="7:8" ht="30" thickTop="1" thickBot="1">
      <c r="G24" s="394" t="s">
        <v>158</v>
      </c>
      <c r="H24" s="392">
        <v>19</v>
      </c>
    </row>
    <row r="25" spans="7:8" ht="30" thickTop="1" thickBot="1">
      <c r="G25" s="396" t="s">
        <v>564</v>
      </c>
      <c r="H25" s="392">
        <v>20</v>
      </c>
    </row>
    <row r="26" spans="7:8" ht="30" thickTop="1" thickBot="1">
      <c r="G26" s="396" t="s">
        <v>565</v>
      </c>
      <c r="H26" s="392">
        <v>21</v>
      </c>
    </row>
    <row r="27" spans="7:8" ht="30" thickTop="1" thickBot="1">
      <c r="G27" s="396" t="s">
        <v>566</v>
      </c>
      <c r="H27" s="392">
        <v>22</v>
      </c>
    </row>
    <row r="28" spans="7:8" ht="30" thickTop="1" thickBot="1">
      <c r="G28" s="396" t="s">
        <v>567</v>
      </c>
      <c r="H28" s="392">
        <v>23</v>
      </c>
    </row>
    <row r="29" spans="7:8" ht="30" thickTop="1" thickBot="1">
      <c r="G29" s="393" t="s">
        <v>568</v>
      </c>
      <c r="H29" s="392">
        <v>24</v>
      </c>
    </row>
    <row r="30" spans="7:8" ht="30" thickTop="1" thickBot="1">
      <c r="G30" s="393" t="s">
        <v>569</v>
      </c>
      <c r="H30" s="392">
        <v>25</v>
      </c>
    </row>
    <row r="31" spans="7:8" ht="30" thickTop="1" thickBot="1">
      <c r="G31" s="393" t="s">
        <v>570</v>
      </c>
      <c r="H31" s="392">
        <v>26</v>
      </c>
    </row>
    <row r="32" spans="7:8" ht="30" thickTop="1" thickBot="1">
      <c r="G32" s="393" t="s">
        <v>596</v>
      </c>
      <c r="H32" s="392">
        <v>27</v>
      </c>
    </row>
    <row r="33" spans="7:8" ht="30" thickTop="1" thickBot="1">
      <c r="G33" s="397" t="s">
        <v>624</v>
      </c>
      <c r="H33" s="392">
        <v>28</v>
      </c>
    </row>
    <row r="34" spans="7:8" ht="30" thickTop="1" thickBot="1">
      <c r="G34" s="397" t="s">
        <v>625</v>
      </c>
      <c r="H34" s="392">
        <v>29</v>
      </c>
    </row>
    <row r="35" spans="7:8" ht="30" thickTop="1" thickBot="1">
      <c r="G35" s="393" t="s">
        <v>687</v>
      </c>
      <c r="H35" s="392">
        <v>30</v>
      </c>
    </row>
    <row r="36" spans="7:8" ht="30" thickTop="1" thickBot="1">
      <c r="G36" s="490" t="s">
        <v>708</v>
      </c>
      <c r="H36" s="392">
        <v>31</v>
      </c>
    </row>
    <row r="37" spans="7:8" ht="15.75" thickTop="1"/>
  </sheetData>
  <mergeCells count="1">
    <mergeCell ref="G3:H3"/>
  </mergeCells>
  <hyperlinks>
    <hyperlink ref="G6" location="ترازنامه!A1" display="ترازنامه"/>
    <hyperlink ref="G9" location="'فروش - محصول A'!A1" display="فروش محصول A"/>
    <hyperlink ref="G10" location="'فروش محصول B'!A1" display="فروش محصول B"/>
    <hyperlink ref="G11" location="'فروش محصول C'!A1" display="فروش محصول C"/>
    <hyperlink ref="G12" location="'فروش محصولات '!A1" display="فروش محصولات"/>
    <hyperlink ref="G13" location="'گردش توليد و مواد ( A)'!A1" display="گردش تولید و مواد A"/>
    <hyperlink ref="G14" location="'گردش توليد و مواد B'!A1" display="گردش تولید و مواد B"/>
    <hyperlink ref="G15" location="'گردش توليد و مواد C'!A1" display="گردش تولید و مواد C"/>
    <hyperlink ref="G16" location="'جدول نقدینگی - خرید کل '!A1" display="جدول نقدینگی - خرید کل "/>
    <hyperlink ref="G17" location="bom!A1" display="جدول BOM"/>
    <hyperlink ref="G18" location="'گردش قیمت تمام شده - محصولات'!A1" display="گردش قیمت تمام شده - محصولات نهایی "/>
    <hyperlink ref="G19" location="'دستمزد مستقیم'!A1" display="دستمزد مسقیم "/>
    <hyperlink ref="G20" location="'هزینه سربار تولیدی '!A1" display="سربار تولیدی"/>
    <hyperlink ref="G21" location="'هزینه اداری '!A1" display="هزینه اداری و تشکیلاتی"/>
    <hyperlink ref="G22" location="'توزیع و فروش '!A1" display="هزینه بازاریابی و فروش"/>
    <hyperlink ref="G23" location="'دستمزد پروژه '!A1" display="دستمزد پروژه + خرید و احداث"/>
    <hyperlink ref="G24" location="'جدول دارایی های ثابت مشهود '!A1" display="دارایی های ثابت مشهود "/>
    <hyperlink ref="G25" location="'مراکز هزینه پرسنل'!A1" display="مراکز هزینه - پرسنلی "/>
    <hyperlink ref="G26" location="'محاسبه پایه حقوقی'!A1" display="محاسبه پایه حقوقی"/>
    <hyperlink ref="G27" location="'محاسبه اضافه کاری'!A1" display="محاسبه اضافه کار"/>
    <hyperlink ref="G28" location="'سایر مزایا '!A1" display="سایر مزایا"/>
    <hyperlink ref="G29" location="'نیاز مواد اولیه - مقادیر'!A1" display="نیاز مواد اولیه - مقادیر"/>
    <hyperlink ref="G30" location="'نسبت های مالی '!A1" display="نسبت های مالی"/>
    <hyperlink ref="G31" location="'وام '!A1" display="وام کوتاه مدت "/>
    <hyperlink ref="G32" location="'موجودی کالا'!A1" display="موجودی کالا - پایان دوره و بیمه موجودیهای جنسی"/>
    <hyperlink ref="G33" location="'یاداشت های سال قبل'!A1" display="یاداشت های سال قبل "/>
    <hyperlink ref="G34" location="'اطاعات تفصیلی سال قبل'!A1" display="اطلاعات تفصیلی سال قبل"/>
    <hyperlink ref="G35" location="'جریان وجه نقد استاندارد'!A1" display="جریان وجه نقد استاندارد "/>
    <hyperlink ref="G8" location="'گردش جریان وجه نقد'!A1" display="صورت جریان وجه نقد "/>
    <hyperlink ref="G7" location="'سود و زیان '!A1" display="سود و زیان جاری و انباشته"/>
    <hyperlink ref="G36" location="'بیمه اموال و دارایی ها '!A1" display="بیمه دارایی ها "/>
  </hyperlinks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C1:AQ54"/>
  <sheetViews>
    <sheetView topLeftCell="O25" workbookViewId="0">
      <selection activeCell="U34" sqref="U34"/>
    </sheetView>
  </sheetViews>
  <sheetFormatPr defaultColWidth="7.28515625" defaultRowHeight="26.25"/>
  <cols>
    <col min="1" max="1" width="7.28515625" style="276"/>
    <col min="2" max="2" width="22" style="276" bestFit="1" customWidth="1"/>
    <col min="3" max="3" width="27.140625" style="276" bestFit="1" customWidth="1"/>
    <col min="4" max="4" width="24.7109375" style="276" bestFit="1" customWidth="1"/>
    <col min="5" max="9" width="22" style="276" bestFit="1" customWidth="1"/>
    <col min="10" max="15" width="25" style="276" bestFit="1" customWidth="1"/>
    <col min="16" max="16" width="70" style="276" bestFit="1" customWidth="1"/>
    <col min="17" max="17" width="6.42578125" style="276" customWidth="1"/>
    <col min="18" max="18" width="25" style="276" bestFit="1" customWidth="1"/>
    <col min="19" max="19" width="22" style="276" bestFit="1" customWidth="1"/>
    <col min="20" max="20" width="8.85546875" style="276" bestFit="1" customWidth="1"/>
    <col min="21" max="21" width="22" style="276" bestFit="1" customWidth="1"/>
    <col min="22" max="22" width="8.85546875" style="276" bestFit="1" customWidth="1"/>
    <col min="23" max="23" width="22" style="276" bestFit="1" customWidth="1"/>
    <col min="24" max="24" width="8.85546875" style="276" bestFit="1" customWidth="1"/>
    <col min="25" max="25" width="22" style="276" bestFit="1" customWidth="1"/>
    <col min="26" max="26" width="8.85546875" style="276" bestFit="1" customWidth="1"/>
    <col min="27" max="27" width="22" style="276" bestFit="1" customWidth="1"/>
    <col min="28" max="28" width="8.85546875" style="276" bestFit="1" customWidth="1"/>
    <col min="29" max="29" width="22" style="276" bestFit="1" customWidth="1"/>
    <col min="30" max="30" width="8.85546875" style="276" bestFit="1" customWidth="1"/>
    <col min="31" max="31" width="22" style="276" bestFit="1" customWidth="1"/>
    <col min="32" max="32" width="8.85546875" style="276" bestFit="1" customWidth="1"/>
    <col min="33" max="33" width="22" style="276" bestFit="1" customWidth="1"/>
    <col min="34" max="34" width="8.85546875" style="276" bestFit="1" customWidth="1"/>
    <col min="35" max="35" width="22" style="276" bestFit="1" customWidth="1"/>
    <col min="36" max="36" width="8.85546875" style="276" bestFit="1" customWidth="1"/>
    <col min="37" max="37" width="22" style="276" bestFit="1" customWidth="1"/>
    <col min="38" max="38" width="8.85546875" style="276" bestFit="1" customWidth="1"/>
    <col min="39" max="39" width="22" style="276" bestFit="1" customWidth="1"/>
    <col min="40" max="40" width="8.85546875" style="276" bestFit="1" customWidth="1"/>
    <col min="41" max="41" width="22" style="276" bestFit="1" customWidth="1"/>
    <col min="42" max="42" width="8.85546875" style="276" bestFit="1" customWidth="1"/>
    <col min="43" max="43" width="70" style="276" bestFit="1" customWidth="1"/>
    <col min="44" max="16384" width="7.28515625" style="276"/>
  </cols>
  <sheetData>
    <row r="1" spans="3:16" ht="32.25" thickBot="1">
      <c r="C1" s="292">
        <f>C5/12/'مراکز هزینه پرسنل'!B31*2</f>
        <v>58068749.999999993</v>
      </c>
      <c r="D1" s="292" t="s">
        <v>514</v>
      </c>
      <c r="F1" s="375"/>
      <c r="P1" s="376" t="s">
        <v>682</v>
      </c>
    </row>
    <row r="2" spans="3:16" ht="29.25" thickBot="1">
      <c r="C2" s="292">
        <f>'محاسبه پایه حقوقی'!T32</f>
        <v>32084689.5</v>
      </c>
      <c r="D2" s="292" t="s">
        <v>515</v>
      </c>
      <c r="F2" s="624" t="s">
        <v>730</v>
      </c>
      <c r="G2" s="625"/>
      <c r="H2" s="625"/>
      <c r="I2" s="625"/>
      <c r="J2" s="625"/>
      <c r="K2" s="625"/>
      <c r="L2" s="625"/>
      <c r="M2" s="625"/>
      <c r="N2" s="625"/>
      <c r="O2" s="625"/>
      <c r="P2" s="626"/>
    </row>
    <row r="3" spans="3:16" ht="27" thickBot="1"/>
    <row r="4" spans="3:16" ht="32.25" customHeight="1" thickBot="1">
      <c r="C4" s="277" t="s">
        <v>42</v>
      </c>
      <c r="D4" s="277" t="s">
        <v>41</v>
      </c>
      <c r="E4" s="277" t="s">
        <v>10</v>
      </c>
      <c r="F4" s="277" t="s">
        <v>9</v>
      </c>
      <c r="G4" s="277" t="s">
        <v>8</v>
      </c>
      <c r="H4" s="277" t="s">
        <v>40</v>
      </c>
      <c r="I4" s="277" t="s">
        <v>6</v>
      </c>
      <c r="J4" s="277" t="s">
        <v>5</v>
      </c>
      <c r="K4" s="277" t="s">
        <v>4</v>
      </c>
      <c r="L4" s="277" t="s">
        <v>3</v>
      </c>
      <c r="M4" s="277" t="s">
        <v>2</v>
      </c>
      <c r="N4" s="277" t="s">
        <v>1</v>
      </c>
      <c r="O4" s="277" t="s">
        <v>39</v>
      </c>
      <c r="P4" s="277" t="s">
        <v>241</v>
      </c>
    </row>
    <row r="5" spans="3:16" ht="31.5" customHeight="1" thickBot="1">
      <c r="C5" s="377">
        <f>SUM(D5:O5)</f>
        <v>1393649999.9999998</v>
      </c>
      <c r="D5" s="377">
        <f>'محاسبه پایه حقوقی'!D32</f>
        <v>82649999.999999985</v>
      </c>
      <c r="E5" s="377">
        <f>'محاسبه پایه حقوقی'!E32</f>
        <v>85499999.999999985</v>
      </c>
      <c r="F5" s="377">
        <f>'محاسبه پایه حقوقی'!F32</f>
        <v>85499999.999999985</v>
      </c>
      <c r="G5" s="377">
        <f>'محاسبه پایه حقوقی'!G32</f>
        <v>85499999.999999985</v>
      </c>
      <c r="H5" s="377">
        <f>'محاسبه پایه حقوقی'!H32</f>
        <v>85499999.999999985</v>
      </c>
      <c r="I5" s="377">
        <f>'محاسبه پایه حقوقی'!I32</f>
        <v>85499999.999999985</v>
      </c>
      <c r="J5" s="377">
        <f>'محاسبه پایه حقوقی'!J32</f>
        <v>147249999.99999997</v>
      </c>
      <c r="K5" s="377">
        <f>'محاسبه پایه حقوقی'!K32</f>
        <v>147249999.99999997</v>
      </c>
      <c r="L5" s="377">
        <f>'محاسبه پایه حقوقی'!L32</f>
        <v>147249999.99999997</v>
      </c>
      <c r="M5" s="377">
        <f>'محاسبه پایه حقوقی'!M32</f>
        <v>147249999.99999997</v>
      </c>
      <c r="N5" s="377">
        <f>'محاسبه پایه حقوقی'!N32</f>
        <v>147249999.99999997</v>
      </c>
      <c r="O5" s="377">
        <f>'محاسبه پایه حقوقی'!O32</f>
        <v>147249999.99999997</v>
      </c>
      <c r="P5" s="379" t="s">
        <v>673</v>
      </c>
    </row>
    <row r="6" spans="3:16" ht="27" thickBot="1">
      <c r="C6" s="377">
        <f t="shared" ref="C6:C14" si="0">SUM(D6:O6)</f>
        <v>386531249.99999994</v>
      </c>
      <c r="D6" s="377">
        <f>'محاسبه اضافه کاری'!B51+'محاسبه اضافه کاری'!B52</f>
        <v>12468749.999999996</v>
      </c>
      <c r="E6" s="377">
        <f>'محاسبه اضافه کاری'!C51+'محاسبه اضافه کاری'!C52</f>
        <v>12468749.999999996</v>
      </c>
      <c r="F6" s="377">
        <f>'محاسبه اضافه کاری'!D51+'محاسبه اضافه کاری'!D52</f>
        <v>12468749.999999996</v>
      </c>
      <c r="G6" s="377">
        <f>'محاسبه اضافه کاری'!E51+'محاسبه اضافه کاری'!E52</f>
        <v>12468749.999999996</v>
      </c>
      <c r="H6" s="377">
        <f>'محاسبه اضافه کاری'!F51+'محاسبه اضافه کاری'!F52</f>
        <v>12468749.999999996</v>
      </c>
      <c r="I6" s="377">
        <f>'محاسبه اضافه کاری'!G51+'محاسبه اضافه کاری'!G52</f>
        <v>12468749.999999996</v>
      </c>
      <c r="J6" s="377">
        <f>'محاسبه اضافه کاری'!H51+'محاسبه اضافه کاری'!H52</f>
        <v>51953124.999999985</v>
      </c>
      <c r="K6" s="377">
        <f>'محاسبه اضافه کاری'!I51+'محاسبه اضافه کاری'!I52</f>
        <v>51953124.999999985</v>
      </c>
      <c r="L6" s="377">
        <f>'محاسبه اضافه کاری'!J51+'محاسبه اضافه کاری'!J52</f>
        <v>51953124.999999985</v>
      </c>
      <c r="M6" s="377">
        <f>'محاسبه اضافه کاری'!K51+'محاسبه اضافه کاری'!K52</f>
        <v>51953124.999999985</v>
      </c>
      <c r="N6" s="377">
        <f>'محاسبه اضافه کاری'!L51+'محاسبه اضافه کاری'!L52</f>
        <v>51953124.999999985</v>
      </c>
      <c r="O6" s="377">
        <f>'محاسبه اضافه کاری'!M51+'محاسبه اضافه کاری'!M52</f>
        <v>51953124.999999985</v>
      </c>
      <c r="P6" s="379" t="s">
        <v>43</v>
      </c>
    </row>
    <row r="7" spans="3:16" ht="27" thickBot="1">
      <c r="C7" s="377">
        <f t="shared" si="0"/>
        <v>19200000</v>
      </c>
      <c r="D7" s="377">
        <f>'سایر مزایا '!$L7*'مراکز هزینه پرسنل'!D31</f>
        <v>1200000</v>
      </c>
      <c r="E7" s="377">
        <f>'سایر مزایا '!$L7*'مراکز هزینه پرسنل'!E31</f>
        <v>1200000</v>
      </c>
      <c r="F7" s="377">
        <f>'سایر مزایا '!$L7*'مراکز هزینه پرسنل'!F31</f>
        <v>1200000</v>
      </c>
      <c r="G7" s="377">
        <f>'سایر مزایا '!$L7*'مراکز هزینه پرسنل'!G31</f>
        <v>1200000</v>
      </c>
      <c r="H7" s="377">
        <f>'سایر مزایا '!$L7*'مراکز هزینه پرسنل'!H31</f>
        <v>1200000</v>
      </c>
      <c r="I7" s="377">
        <f>'سایر مزایا '!$L7*'مراکز هزینه پرسنل'!I31</f>
        <v>1200000</v>
      </c>
      <c r="J7" s="377">
        <f>'سایر مزایا '!$L7*'مراکز هزینه پرسنل'!J31</f>
        <v>2000000</v>
      </c>
      <c r="K7" s="377">
        <f>'سایر مزایا '!$L7*'مراکز هزینه پرسنل'!K31</f>
        <v>2000000</v>
      </c>
      <c r="L7" s="377">
        <f>'سایر مزایا '!$L7*'مراکز هزینه پرسنل'!L31</f>
        <v>2000000</v>
      </c>
      <c r="M7" s="377">
        <f>'سایر مزایا '!$L7*'مراکز هزینه پرسنل'!M31</f>
        <v>2000000</v>
      </c>
      <c r="N7" s="377">
        <f>'سایر مزایا '!$L7*'مراکز هزینه پرسنل'!N31</f>
        <v>2000000</v>
      </c>
      <c r="O7" s="377">
        <f>'سایر مزایا '!$L7*'مراکز هزینه پرسنل'!O31</f>
        <v>2000000</v>
      </c>
      <c r="P7" s="379" t="s">
        <v>44</v>
      </c>
    </row>
    <row r="8" spans="3:16" ht="27" thickBot="1">
      <c r="C8" s="377">
        <f t="shared" si="0"/>
        <v>52800000</v>
      </c>
      <c r="D8" s="377">
        <f>'سایر مزایا '!$L10*'مراکز هزینه پرسنل'!D31</f>
        <v>3300000</v>
      </c>
      <c r="E8" s="377">
        <f>'سایر مزایا '!$L10*'مراکز هزینه پرسنل'!E31</f>
        <v>3300000</v>
      </c>
      <c r="F8" s="377">
        <f>'سایر مزایا '!$L10*'مراکز هزینه پرسنل'!F31</f>
        <v>3300000</v>
      </c>
      <c r="G8" s="377">
        <f>'سایر مزایا '!$L10*'مراکز هزینه پرسنل'!G31</f>
        <v>3300000</v>
      </c>
      <c r="H8" s="377">
        <f>'سایر مزایا '!$L10*'مراکز هزینه پرسنل'!H31</f>
        <v>3300000</v>
      </c>
      <c r="I8" s="377">
        <f>'سایر مزایا '!$L10*'مراکز هزینه پرسنل'!I31</f>
        <v>3300000</v>
      </c>
      <c r="J8" s="377">
        <f>'سایر مزایا '!$L10*'مراکز هزینه پرسنل'!J31</f>
        <v>5500000</v>
      </c>
      <c r="K8" s="377">
        <f>'سایر مزایا '!$L10*'مراکز هزینه پرسنل'!K31</f>
        <v>5500000</v>
      </c>
      <c r="L8" s="377">
        <f>'سایر مزایا '!$L10*'مراکز هزینه پرسنل'!L31</f>
        <v>5500000</v>
      </c>
      <c r="M8" s="377">
        <f>'سایر مزایا '!$L10*'مراکز هزینه پرسنل'!M31</f>
        <v>5500000</v>
      </c>
      <c r="N8" s="377">
        <f>'سایر مزایا '!$L10*'مراکز هزینه پرسنل'!N31</f>
        <v>5500000</v>
      </c>
      <c r="O8" s="377">
        <f>'سایر مزایا '!$L10*'مراکز هزینه پرسنل'!O31</f>
        <v>5500000</v>
      </c>
      <c r="P8" s="379" t="s">
        <v>45</v>
      </c>
    </row>
    <row r="9" spans="3:16" ht="27" thickBot="1">
      <c r="C9" s="377">
        <f t="shared" si="0"/>
        <v>51332191.200000003</v>
      </c>
      <c r="D9" s="377">
        <f>'سایر مزایا '!$L8*'مراکز هزینه پرسنل'!D32</f>
        <v>3208261.9499999997</v>
      </c>
      <c r="E9" s="377">
        <f>'سایر مزایا '!$L8*'مراکز هزینه پرسنل'!E32</f>
        <v>3208261.9499999997</v>
      </c>
      <c r="F9" s="377">
        <f>'سایر مزایا '!$L8*'مراکز هزینه پرسنل'!F32</f>
        <v>3208261.9499999997</v>
      </c>
      <c r="G9" s="377">
        <f>'سایر مزایا '!$L8*'مراکز هزینه پرسنل'!G32</f>
        <v>3208261.9499999997</v>
      </c>
      <c r="H9" s="377">
        <f>'سایر مزایا '!$L8*'مراکز هزینه پرسنل'!H32</f>
        <v>3208261.9499999997</v>
      </c>
      <c r="I9" s="377">
        <f>'سایر مزایا '!$L8*'مراکز هزینه پرسنل'!I32</f>
        <v>3208261.9499999997</v>
      </c>
      <c r="J9" s="377">
        <f>'سایر مزایا '!$L8*'مراکز هزینه پرسنل'!J32</f>
        <v>5347103.25</v>
      </c>
      <c r="K9" s="377">
        <f>'سایر مزایا '!$L8*'مراکز هزینه پرسنل'!K32</f>
        <v>5347103.25</v>
      </c>
      <c r="L9" s="377">
        <f>'سایر مزایا '!$L8*'مراکز هزینه پرسنل'!L32</f>
        <v>5347103.25</v>
      </c>
      <c r="M9" s="377">
        <f>'سایر مزایا '!$L8*'مراکز هزینه پرسنل'!M32</f>
        <v>5347103.25</v>
      </c>
      <c r="N9" s="377">
        <f>'سایر مزایا '!$L8*'مراکز هزینه پرسنل'!N32</f>
        <v>5347103.25</v>
      </c>
      <c r="O9" s="377">
        <f>'سایر مزایا '!$L8*'مراکز هزینه پرسنل'!O32</f>
        <v>5347103.25</v>
      </c>
      <c r="P9" s="379" t="s">
        <v>46</v>
      </c>
    </row>
    <row r="10" spans="3:16" ht="27" thickBot="1">
      <c r="C10" s="377">
        <f t="shared" si="0"/>
        <v>426001687.49999994</v>
      </c>
      <c r="D10" s="377">
        <f t="shared" ref="D10:N10" si="1">(D5+D6+D7+D8)*23%</f>
        <v>22912312.499999996</v>
      </c>
      <c r="E10" s="377">
        <f t="shared" si="1"/>
        <v>23567812.499999996</v>
      </c>
      <c r="F10" s="377">
        <f t="shared" si="1"/>
        <v>23567812.499999996</v>
      </c>
      <c r="G10" s="377">
        <f t="shared" si="1"/>
        <v>23567812.499999996</v>
      </c>
      <c r="H10" s="377">
        <f t="shared" si="1"/>
        <v>23567812.499999996</v>
      </c>
      <c r="I10" s="377">
        <f t="shared" si="1"/>
        <v>23567812.499999996</v>
      </c>
      <c r="J10" s="377">
        <f t="shared" si="1"/>
        <v>47541718.749999985</v>
      </c>
      <c r="K10" s="377">
        <f t="shared" si="1"/>
        <v>47541718.749999985</v>
      </c>
      <c r="L10" s="377">
        <f t="shared" si="1"/>
        <v>47541718.749999985</v>
      </c>
      <c r="M10" s="377">
        <f t="shared" si="1"/>
        <v>47541718.749999985</v>
      </c>
      <c r="N10" s="377">
        <f t="shared" si="1"/>
        <v>47541718.749999985</v>
      </c>
      <c r="O10" s="377">
        <f>(O5+O6+O7+O8)*23%</f>
        <v>47541718.749999985</v>
      </c>
      <c r="P10" s="379" t="s">
        <v>47</v>
      </c>
    </row>
    <row r="11" spans="3:16" ht="27" thickBot="1">
      <c r="C11" s="377">
        <f t="shared" si="0"/>
        <v>128338758</v>
      </c>
      <c r="D11" s="377">
        <f>IF(C1&gt;C2,C2*'مراکز هزینه پرسنل'!B31,C1*'مراکز هزینه پرسنل'!B31)</f>
        <v>128338758</v>
      </c>
      <c r="E11" s="377"/>
      <c r="F11" s="377"/>
      <c r="G11" s="377"/>
      <c r="H11" s="377"/>
      <c r="I11" s="377"/>
      <c r="J11" s="377"/>
      <c r="K11" s="377"/>
      <c r="L11" s="377"/>
      <c r="M11" s="377"/>
      <c r="N11" s="377"/>
      <c r="O11" s="377"/>
      <c r="P11" s="379" t="s">
        <v>48</v>
      </c>
    </row>
    <row r="12" spans="3:16" ht="27" thickBot="1">
      <c r="C12" s="377">
        <f t="shared" si="0"/>
        <v>0</v>
      </c>
      <c r="D12" s="278"/>
      <c r="E12" s="278"/>
      <c r="F12" s="278"/>
      <c r="G12" s="278"/>
      <c r="H12" s="278"/>
      <c r="I12" s="278"/>
      <c r="J12" s="278"/>
      <c r="K12" s="278"/>
      <c r="L12" s="278"/>
      <c r="M12" s="278"/>
      <c r="N12" s="278"/>
      <c r="O12" s="278"/>
      <c r="P12" s="379" t="s">
        <v>49</v>
      </c>
    </row>
    <row r="13" spans="3:16" ht="27" thickBot="1">
      <c r="C13" s="377">
        <f t="shared" si="0"/>
        <v>245785388.66999993</v>
      </c>
      <c r="D13" s="377">
        <f>(D5+D6+D7+D8+D9+D10+D11+D12)*'سایر مزایا '!$L20</f>
        <v>25407808.245000001</v>
      </c>
      <c r="E13" s="377">
        <f>(E5+E6+E7+E8+E9+E10+E11+E12)*'سایر مزایا '!$L20</f>
        <v>12924482.445</v>
      </c>
      <c r="F13" s="377">
        <f>(F5+F6+F7+F8+F9+F10+F11+F12)*'سایر مزایا '!$L20</f>
        <v>12924482.445</v>
      </c>
      <c r="G13" s="377">
        <f>(G5+G6+G7+G8+G9+G10+G11+G12)*'سایر مزایا '!$L20</f>
        <v>12924482.445</v>
      </c>
      <c r="H13" s="377">
        <f>(H5+H6+H7+H8+H9+H10+H11+H12)*'سایر مزایا '!$L20</f>
        <v>12924482.445</v>
      </c>
      <c r="I13" s="377">
        <f>(I5+I6+I7+I8+I9+I10+I11+I12)*'سایر مزایا '!$L20</f>
        <v>12924482.445</v>
      </c>
      <c r="J13" s="377">
        <f>(J5+J6+J7+J8+J9+J10+J11+J12)*'سایر مزایا '!$L20</f>
        <v>25959194.699999996</v>
      </c>
      <c r="K13" s="377">
        <f>(K5+K6+K7+K8+K9+K10+K11+K12)*'سایر مزایا '!$L20</f>
        <v>25959194.699999996</v>
      </c>
      <c r="L13" s="377">
        <f>(L5+L6+L7+L8+L9+L10+L11+L12)*'سایر مزایا '!$L20</f>
        <v>25959194.699999996</v>
      </c>
      <c r="M13" s="377">
        <f>(M5+M6+M7+M8+M9+M10+M11+M12)*'سایر مزایا '!$L20</f>
        <v>25959194.699999996</v>
      </c>
      <c r="N13" s="377">
        <f>(N5+N6+N7+N8+N9+N10+N11+N12)*'سایر مزایا '!$L20</f>
        <v>25959194.699999996</v>
      </c>
      <c r="O13" s="377">
        <f>(O5+O6+O7+O8+O9+O10+O11+O12)*'سایر مزایا '!$L20</f>
        <v>25959194.699999996</v>
      </c>
      <c r="P13" s="379" t="s">
        <v>542</v>
      </c>
    </row>
    <row r="14" spans="3:16" ht="27" thickBot="1">
      <c r="C14" s="377">
        <f t="shared" si="0"/>
        <v>102599999.99999999</v>
      </c>
      <c r="D14" s="377">
        <f>E5*'سایر مزایا '!L23</f>
        <v>102599999.99999999</v>
      </c>
      <c r="E14" s="377"/>
      <c r="F14" s="377"/>
      <c r="G14" s="377"/>
      <c r="H14" s="377"/>
      <c r="I14" s="377"/>
      <c r="J14" s="377"/>
      <c r="K14" s="377"/>
      <c r="L14" s="377"/>
      <c r="M14" s="377"/>
      <c r="N14" s="377"/>
      <c r="O14" s="377"/>
      <c r="P14" s="379" t="s">
        <v>50</v>
      </c>
    </row>
    <row r="15" spans="3:16" ht="27" thickBot="1">
      <c r="C15" s="281">
        <f>SUM(C5:C14)</f>
        <v>2806239275.3699999</v>
      </c>
      <c r="D15" s="281">
        <f t="shared" ref="D15:O15" si="2">SUM(D5:D14)</f>
        <v>382085890.69499999</v>
      </c>
      <c r="E15" s="281">
        <f t="shared" si="2"/>
        <v>142169306.89499998</v>
      </c>
      <c r="F15" s="281">
        <f t="shared" si="2"/>
        <v>142169306.89499998</v>
      </c>
      <c r="G15" s="281">
        <f t="shared" si="2"/>
        <v>142169306.89499998</v>
      </c>
      <c r="H15" s="281">
        <f t="shared" si="2"/>
        <v>142169306.89499998</v>
      </c>
      <c r="I15" s="281">
        <f t="shared" si="2"/>
        <v>142169306.89499998</v>
      </c>
      <c r="J15" s="281">
        <f t="shared" si="2"/>
        <v>285551141.69999993</v>
      </c>
      <c r="K15" s="281">
        <f t="shared" si="2"/>
        <v>285551141.69999993</v>
      </c>
      <c r="L15" s="281">
        <f t="shared" si="2"/>
        <v>285551141.69999993</v>
      </c>
      <c r="M15" s="281">
        <f t="shared" si="2"/>
        <v>285551141.69999993</v>
      </c>
      <c r="N15" s="281">
        <f t="shared" si="2"/>
        <v>285551141.69999993</v>
      </c>
      <c r="O15" s="281">
        <f t="shared" si="2"/>
        <v>285551141.69999993</v>
      </c>
      <c r="P15" s="281" t="s">
        <v>672</v>
      </c>
    </row>
    <row r="16" spans="3:16" ht="31.5" customHeight="1" thickBot="1">
      <c r="C16" s="282">
        <f>IF('سایر مزایا '!$L19=1,C15,C15-C14)</f>
        <v>2703639275.3699999</v>
      </c>
      <c r="D16" s="282">
        <f>IF('سایر مزایا '!$L19=1,D15,D15-D14)</f>
        <v>279485890.69499999</v>
      </c>
      <c r="E16" s="282">
        <f>IF('سایر مزایا '!$L19=1,E15,E15-E14)</f>
        <v>142169306.89499998</v>
      </c>
      <c r="F16" s="282">
        <f>IF('سایر مزایا '!$L19=1,F15,F15-F14)</f>
        <v>142169306.89499998</v>
      </c>
      <c r="G16" s="282">
        <f>IF('سایر مزایا '!$L19=1,G15,G15-G14)</f>
        <v>142169306.89499998</v>
      </c>
      <c r="H16" s="282">
        <f>IF('سایر مزایا '!$L19=1,H15,H15-H14)</f>
        <v>142169306.89499998</v>
      </c>
      <c r="I16" s="282">
        <f>IF('سایر مزایا '!$L19=1,I15,I15-I14)</f>
        <v>142169306.89499998</v>
      </c>
      <c r="J16" s="282">
        <f>IF('سایر مزایا '!$L19=1,J15,J15-J14)</f>
        <v>285551141.69999993</v>
      </c>
      <c r="K16" s="282">
        <f>IF('سایر مزایا '!$L19=1,K15,K15-K14)</f>
        <v>285551141.69999993</v>
      </c>
      <c r="L16" s="282">
        <f>IF('سایر مزایا '!$L19=1,L15,L15-L14)</f>
        <v>285551141.69999993</v>
      </c>
      <c r="M16" s="282">
        <f>IF('سایر مزایا '!$L19=1,M15,M15-M14)</f>
        <v>285551141.69999993</v>
      </c>
      <c r="N16" s="282">
        <f>IF('سایر مزایا '!$L19=1,N15,N15-N14)</f>
        <v>285551141.69999993</v>
      </c>
      <c r="O16" s="282">
        <f>IF('سایر مزایا '!$L19=1,O15,O15-O14)</f>
        <v>285551141.69999993</v>
      </c>
      <c r="P16" s="282" t="s">
        <v>51</v>
      </c>
    </row>
    <row r="18" spans="3:43" ht="27" thickBot="1"/>
    <row r="19" spans="3:43" ht="27" thickBot="1">
      <c r="C19" s="627" t="str">
        <f t="shared" ref="C19:N19" si="3">C4</f>
        <v>جمع کل</v>
      </c>
      <c r="D19" s="277" t="str">
        <f t="shared" si="3"/>
        <v>اسفند</v>
      </c>
      <c r="E19" s="277" t="str">
        <f t="shared" si="3"/>
        <v>بهمن</v>
      </c>
      <c r="F19" s="277" t="str">
        <f t="shared" si="3"/>
        <v>دی</v>
      </c>
      <c r="G19" s="277" t="str">
        <f t="shared" si="3"/>
        <v>اذر</v>
      </c>
      <c r="H19" s="277" t="str">
        <f t="shared" si="3"/>
        <v>ابان</v>
      </c>
      <c r="I19" s="277" t="str">
        <f t="shared" si="3"/>
        <v>مهر</v>
      </c>
      <c r="J19" s="277" t="str">
        <f t="shared" si="3"/>
        <v>شهریور</v>
      </c>
      <c r="K19" s="277" t="str">
        <f t="shared" si="3"/>
        <v>مرداد</v>
      </c>
      <c r="L19" s="277" t="str">
        <f t="shared" si="3"/>
        <v xml:space="preserve">تیر </v>
      </c>
      <c r="M19" s="277" t="str">
        <f t="shared" si="3"/>
        <v>خرداد</v>
      </c>
      <c r="N19" s="277" t="str">
        <f t="shared" si="3"/>
        <v>اردیبهشت</v>
      </c>
      <c r="O19" s="277" t="str">
        <f>O4</f>
        <v>فروردین</v>
      </c>
      <c r="P19" s="631" t="s">
        <v>693</v>
      </c>
      <c r="Q19" s="634"/>
      <c r="R19" s="630" t="s">
        <v>12</v>
      </c>
      <c r="S19" s="627" t="s">
        <v>41</v>
      </c>
      <c r="T19" s="627"/>
      <c r="U19" s="628" t="s">
        <v>10</v>
      </c>
      <c r="V19" s="629"/>
      <c r="W19" s="627" t="s">
        <v>9</v>
      </c>
      <c r="X19" s="627"/>
      <c r="Y19" s="627" t="s">
        <v>8</v>
      </c>
      <c r="Z19" s="627"/>
      <c r="AA19" s="627" t="s">
        <v>40</v>
      </c>
      <c r="AB19" s="627"/>
      <c r="AC19" s="627" t="s">
        <v>6</v>
      </c>
      <c r="AD19" s="627"/>
      <c r="AE19" s="627" t="s">
        <v>5</v>
      </c>
      <c r="AF19" s="627"/>
      <c r="AG19" s="627" t="s">
        <v>4</v>
      </c>
      <c r="AH19" s="627"/>
      <c r="AI19" s="627" t="s">
        <v>183</v>
      </c>
      <c r="AJ19" s="627"/>
      <c r="AK19" s="627" t="s">
        <v>2</v>
      </c>
      <c r="AL19" s="627"/>
      <c r="AM19" s="627" t="s">
        <v>1</v>
      </c>
      <c r="AN19" s="627"/>
      <c r="AO19" s="627" t="s">
        <v>39</v>
      </c>
      <c r="AP19" s="627"/>
      <c r="AQ19" s="631" t="s">
        <v>693</v>
      </c>
    </row>
    <row r="20" spans="3:43" ht="27" thickBot="1">
      <c r="C20" s="627"/>
      <c r="D20" s="493" t="s">
        <v>589</v>
      </c>
      <c r="E20" s="493" t="s">
        <v>589</v>
      </c>
      <c r="F20" s="493" t="s">
        <v>589</v>
      </c>
      <c r="G20" s="493" t="s">
        <v>589</v>
      </c>
      <c r="H20" s="493" t="s">
        <v>589</v>
      </c>
      <c r="I20" s="493" t="s">
        <v>589</v>
      </c>
      <c r="J20" s="493" t="s">
        <v>589</v>
      </c>
      <c r="K20" s="493" t="s">
        <v>589</v>
      </c>
      <c r="L20" s="493" t="s">
        <v>589</v>
      </c>
      <c r="M20" s="493" t="s">
        <v>589</v>
      </c>
      <c r="N20" s="493" t="s">
        <v>589</v>
      </c>
      <c r="O20" s="493" t="s">
        <v>589</v>
      </c>
      <c r="P20" s="632"/>
      <c r="Q20" s="634"/>
      <c r="R20" s="630"/>
      <c r="S20" s="451" t="s">
        <v>15</v>
      </c>
      <c r="T20" s="451" t="s">
        <v>616</v>
      </c>
      <c r="U20" s="451" t="s">
        <v>15</v>
      </c>
      <c r="V20" s="451" t="s">
        <v>616</v>
      </c>
      <c r="W20" s="451" t="s">
        <v>15</v>
      </c>
      <c r="X20" s="451" t="s">
        <v>616</v>
      </c>
      <c r="Y20" s="451" t="s">
        <v>15</v>
      </c>
      <c r="Z20" s="451" t="s">
        <v>616</v>
      </c>
      <c r="AA20" s="451" t="s">
        <v>15</v>
      </c>
      <c r="AB20" s="451" t="s">
        <v>616</v>
      </c>
      <c r="AC20" s="451" t="s">
        <v>15</v>
      </c>
      <c r="AD20" s="451" t="s">
        <v>616</v>
      </c>
      <c r="AE20" s="451" t="s">
        <v>15</v>
      </c>
      <c r="AF20" s="451" t="s">
        <v>616</v>
      </c>
      <c r="AG20" s="451" t="s">
        <v>15</v>
      </c>
      <c r="AH20" s="451" t="s">
        <v>616</v>
      </c>
      <c r="AI20" s="451" t="s">
        <v>15</v>
      </c>
      <c r="AJ20" s="451" t="s">
        <v>616</v>
      </c>
      <c r="AK20" s="451" t="s">
        <v>15</v>
      </c>
      <c r="AL20" s="451" t="s">
        <v>616</v>
      </c>
      <c r="AM20" s="451" t="s">
        <v>15</v>
      </c>
      <c r="AN20" s="451" t="s">
        <v>616</v>
      </c>
      <c r="AO20" s="451" t="s">
        <v>15</v>
      </c>
      <c r="AP20" s="451" t="s">
        <v>616</v>
      </c>
      <c r="AQ20" s="632"/>
    </row>
    <row r="21" spans="3:43" ht="27" thickBot="1">
      <c r="C21" s="377">
        <f>SUM(D21:O21)</f>
        <v>0</v>
      </c>
      <c r="D21" s="377">
        <f>S21</f>
        <v>0</v>
      </c>
      <c r="E21" s="377">
        <f>U21</f>
        <v>0</v>
      </c>
      <c r="F21" s="377">
        <f>W21</f>
        <v>0</v>
      </c>
      <c r="G21" s="377">
        <f>Y21</f>
        <v>0</v>
      </c>
      <c r="H21" s="377">
        <f>AA21</f>
        <v>0</v>
      </c>
      <c r="I21" s="377">
        <f>AC21</f>
        <v>0</v>
      </c>
      <c r="J21" s="377">
        <f>AE21</f>
        <v>0</v>
      </c>
      <c r="K21" s="377">
        <f>AG21</f>
        <v>0</v>
      </c>
      <c r="L21" s="377">
        <f>AI21</f>
        <v>0</v>
      </c>
      <c r="M21" s="377">
        <f>AK21</f>
        <v>0</v>
      </c>
      <c r="N21" s="377">
        <f>AM21</f>
        <v>0</v>
      </c>
      <c r="O21" s="377">
        <f>AO21</f>
        <v>0</v>
      </c>
      <c r="P21" s="377" t="s">
        <v>674</v>
      </c>
      <c r="Q21" s="491"/>
      <c r="R21" s="492">
        <f>S21+U21+W21+Y21+AA21+AC21+AE21+AG21+AI21+AK21+AM21+AO21</f>
        <v>0</v>
      </c>
      <c r="S21" s="492">
        <f t="shared" ref="S21:S25" si="4">D$15*T21%</f>
        <v>0</v>
      </c>
      <c r="T21" s="390"/>
      <c r="U21" s="492">
        <f t="shared" ref="U21:U25" si="5">E$15*V21%</f>
        <v>0</v>
      </c>
      <c r="V21" s="390"/>
      <c r="W21" s="492">
        <f t="shared" ref="W21:W25" si="6">F$15*X21%</f>
        <v>0</v>
      </c>
      <c r="X21" s="390"/>
      <c r="Y21" s="492">
        <f t="shared" ref="Y21:Y25" si="7">G$15*Z21%</f>
        <v>0</v>
      </c>
      <c r="Z21" s="390"/>
      <c r="AA21" s="492">
        <f t="shared" ref="AA21:AA25" si="8">H$15*AB21%</f>
        <v>0</v>
      </c>
      <c r="AB21" s="390"/>
      <c r="AC21" s="492">
        <f t="shared" ref="AC21:AC25" si="9">I$15*AD21%</f>
        <v>0</v>
      </c>
      <c r="AD21" s="390"/>
      <c r="AE21" s="492">
        <f t="shared" ref="AE21:AE25" si="10">J$15*AF21%</f>
        <v>0</v>
      </c>
      <c r="AF21" s="390"/>
      <c r="AG21" s="492">
        <f t="shared" ref="AG21:AG25" si="11">K$15*AH21%</f>
        <v>0</v>
      </c>
      <c r="AH21" s="390"/>
      <c r="AI21" s="492">
        <f t="shared" ref="AI21:AI25" si="12">L$15*AJ21%</f>
        <v>0</v>
      </c>
      <c r="AJ21" s="390"/>
      <c r="AK21" s="492">
        <f t="shared" ref="AK21:AK25" si="13">M$15*AL21%</f>
        <v>0</v>
      </c>
      <c r="AL21" s="390"/>
      <c r="AM21" s="492">
        <f t="shared" ref="AM21:AM25" si="14">N$15*AN21%</f>
        <v>0</v>
      </c>
      <c r="AN21" s="390"/>
      <c r="AO21" s="492">
        <f t="shared" ref="AO21:AO25" si="15">O$15*AP21%</f>
        <v>0</v>
      </c>
      <c r="AP21" s="390"/>
      <c r="AQ21" s="377" t="s">
        <v>674</v>
      </c>
    </row>
    <row r="22" spans="3:43" ht="27" thickBot="1">
      <c r="C22" s="377">
        <f t="shared" ref="C22:C25" si="16">SUM(D22:O22)</f>
        <v>0</v>
      </c>
      <c r="D22" s="377">
        <f t="shared" ref="D22:D25" si="17">S22</f>
        <v>0</v>
      </c>
      <c r="E22" s="377">
        <f t="shared" ref="E22:E25" si="18">U22</f>
        <v>0</v>
      </c>
      <c r="F22" s="377">
        <f t="shared" ref="F22:F25" si="19">W22</f>
        <v>0</v>
      </c>
      <c r="G22" s="377">
        <f t="shared" ref="G22:G25" si="20">Y22</f>
        <v>0</v>
      </c>
      <c r="H22" s="377">
        <f t="shared" ref="H22:H25" si="21">AA22</f>
        <v>0</v>
      </c>
      <c r="I22" s="377">
        <f t="shared" ref="I22:I25" si="22">AC22</f>
        <v>0</v>
      </c>
      <c r="J22" s="377">
        <f t="shared" ref="J22:J25" si="23">AE22</f>
        <v>0</v>
      </c>
      <c r="K22" s="377">
        <f t="shared" ref="K22:K25" si="24">AG22</f>
        <v>0</v>
      </c>
      <c r="L22" s="377">
        <f t="shared" ref="L22:L25" si="25">AI22</f>
        <v>0</v>
      </c>
      <c r="M22" s="377">
        <f t="shared" ref="M22:M25" si="26">AK22</f>
        <v>0</v>
      </c>
      <c r="N22" s="377">
        <f t="shared" ref="N22:N25" si="27">AM22</f>
        <v>0</v>
      </c>
      <c r="O22" s="377">
        <f t="shared" ref="O22:O25" si="28">AO22</f>
        <v>0</v>
      </c>
      <c r="P22" s="377" t="s">
        <v>675</v>
      </c>
      <c r="Q22" s="491"/>
      <c r="R22" s="492">
        <f t="shared" ref="R22:R25" si="29">S22+U22+W22+Y22+AA22+AC22+AE22+AG22+AI22+AK22+AM22+AO22</f>
        <v>0</v>
      </c>
      <c r="S22" s="492">
        <f t="shared" si="4"/>
        <v>0</v>
      </c>
      <c r="T22" s="390"/>
      <c r="U22" s="492">
        <f t="shared" si="5"/>
        <v>0</v>
      </c>
      <c r="V22" s="390"/>
      <c r="W22" s="492">
        <f t="shared" si="6"/>
        <v>0</v>
      </c>
      <c r="X22" s="390"/>
      <c r="Y22" s="492">
        <f t="shared" si="7"/>
        <v>0</v>
      </c>
      <c r="Z22" s="390"/>
      <c r="AA22" s="492">
        <f t="shared" si="8"/>
        <v>0</v>
      </c>
      <c r="AB22" s="390"/>
      <c r="AC22" s="492">
        <f t="shared" si="9"/>
        <v>0</v>
      </c>
      <c r="AD22" s="390"/>
      <c r="AE22" s="492">
        <f t="shared" si="10"/>
        <v>0</v>
      </c>
      <c r="AF22" s="390"/>
      <c r="AG22" s="492">
        <f t="shared" si="11"/>
        <v>0</v>
      </c>
      <c r="AH22" s="390"/>
      <c r="AI22" s="492">
        <f t="shared" si="12"/>
        <v>0</v>
      </c>
      <c r="AJ22" s="390"/>
      <c r="AK22" s="492">
        <f t="shared" si="13"/>
        <v>0</v>
      </c>
      <c r="AL22" s="390"/>
      <c r="AM22" s="492">
        <f t="shared" si="14"/>
        <v>0</v>
      </c>
      <c r="AN22" s="390"/>
      <c r="AO22" s="492">
        <f t="shared" si="15"/>
        <v>0</v>
      </c>
      <c r="AP22" s="390"/>
      <c r="AQ22" s="377" t="s">
        <v>675</v>
      </c>
    </row>
    <row r="23" spans="3:43" ht="27" thickBot="1">
      <c r="C23" s="377">
        <f t="shared" si="16"/>
        <v>674773956.17610002</v>
      </c>
      <c r="D23" s="377">
        <f t="shared" si="17"/>
        <v>126088343.92935</v>
      </c>
      <c r="E23" s="377">
        <f t="shared" si="18"/>
        <v>46915871.275349997</v>
      </c>
      <c r="F23" s="377">
        <f t="shared" si="19"/>
        <v>46915871.275349997</v>
      </c>
      <c r="G23" s="377">
        <f t="shared" si="20"/>
        <v>46915871.275349997</v>
      </c>
      <c r="H23" s="377">
        <f t="shared" si="21"/>
        <v>46915871.275349997</v>
      </c>
      <c r="I23" s="377">
        <f t="shared" si="22"/>
        <v>46915871.275349997</v>
      </c>
      <c r="J23" s="377">
        <f t="shared" si="23"/>
        <v>114220456.67999998</v>
      </c>
      <c r="K23" s="377">
        <f t="shared" si="24"/>
        <v>85665342.509999976</v>
      </c>
      <c r="L23" s="377">
        <f t="shared" si="25"/>
        <v>57110228.339999989</v>
      </c>
      <c r="M23" s="377">
        <f t="shared" si="26"/>
        <v>42832671.254999988</v>
      </c>
      <c r="N23" s="377">
        <f t="shared" si="27"/>
        <v>14277557.084999997</v>
      </c>
      <c r="O23" s="377">
        <f t="shared" si="28"/>
        <v>0</v>
      </c>
      <c r="P23" s="377" t="s">
        <v>80</v>
      </c>
      <c r="Q23" s="491"/>
      <c r="R23" s="492">
        <f t="shared" si="29"/>
        <v>674773956.17610002</v>
      </c>
      <c r="S23" s="492">
        <f t="shared" si="4"/>
        <v>126088343.92935</v>
      </c>
      <c r="T23" s="390">
        <v>33</v>
      </c>
      <c r="U23" s="492">
        <f t="shared" si="5"/>
        <v>46915871.275349997</v>
      </c>
      <c r="V23" s="390">
        <v>33</v>
      </c>
      <c r="W23" s="492">
        <f t="shared" si="6"/>
        <v>46915871.275349997</v>
      </c>
      <c r="X23" s="390">
        <v>33</v>
      </c>
      <c r="Y23" s="492">
        <f t="shared" si="7"/>
        <v>46915871.275349997</v>
      </c>
      <c r="Z23" s="390">
        <v>33</v>
      </c>
      <c r="AA23" s="492">
        <f t="shared" si="8"/>
        <v>46915871.275349997</v>
      </c>
      <c r="AB23" s="390">
        <v>33</v>
      </c>
      <c r="AC23" s="492">
        <f t="shared" si="9"/>
        <v>46915871.275349997</v>
      </c>
      <c r="AD23" s="390">
        <v>33</v>
      </c>
      <c r="AE23" s="492">
        <f t="shared" si="10"/>
        <v>114220456.67999998</v>
      </c>
      <c r="AF23" s="390">
        <v>40</v>
      </c>
      <c r="AG23" s="492">
        <f t="shared" si="11"/>
        <v>85665342.509999976</v>
      </c>
      <c r="AH23" s="390">
        <v>30</v>
      </c>
      <c r="AI23" s="492">
        <f t="shared" si="12"/>
        <v>57110228.339999989</v>
      </c>
      <c r="AJ23" s="390">
        <v>20</v>
      </c>
      <c r="AK23" s="492">
        <f t="shared" si="13"/>
        <v>42832671.254999988</v>
      </c>
      <c r="AL23" s="390">
        <v>15</v>
      </c>
      <c r="AM23" s="492">
        <f t="shared" si="14"/>
        <v>14277557.084999997</v>
      </c>
      <c r="AN23" s="390">
        <v>5</v>
      </c>
      <c r="AO23" s="492">
        <f t="shared" si="15"/>
        <v>0</v>
      </c>
      <c r="AP23" s="390"/>
      <c r="AQ23" s="377" t="s">
        <v>80</v>
      </c>
    </row>
    <row r="24" spans="3:43" ht="27" thickBot="1">
      <c r="C24" s="377">
        <f t="shared" si="16"/>
        <v>674773956.17610002</v>
      </c>
      <c r="D24" s="377">
        <f t="shared" si="17"/>
        <v>126088343.92935</v>
      </c>
      <c r="E24" s="377">
        <f t="shared" si="18"/>
        <v>46915871.275349997</v>
      </c>
      <c r="F24" s="377">
        <f t="shared" si="19"/>
        <v>46915871.275349997</v>
      </c>
      <c r="G24" s="377">
        <f t="shared" si="20"/>
        <v>46915871.275349997</v>
      </c>
      <c r="H24" s="377">
        <f t="shared" si="21"/>
        <v>46915871.275349997</v>
      </c>
      <c r="I24" s="377">
        <f t="shared" si="22"/>
        <v>46915871.275349997</v>
      </c>
      <c r="J24" s="377">
        <f t="shared" si="23"/>
        <v>114220456.67999998</v>
      </c>
      <c r="K24" s="377">
        <f t="shared" si="24"/>
        <v>85665342.509999976</v>
      </c>
      <c r="L24" s="377">
        <f t="shared" si="25"/>
        <v>57110228.339999989</v>
      </c>
      <c r="M24" s="377">
        <f t="shared" si="26"/>
        <v>42832671.254999988</v>
      </c>
      <c r="N24" s="377">
        <f t="shared" si="27"/>
        <v>14277557.084999997</v>
      </c>
      <c r="O24" s="377">
        <f t="shared" si="28"/>
        <v>0</v>
      </c>
      <c r="P24" s="377" t="s">
        <v>676</v>
      </c>
      <c r="Q24" s="491"/>
      <c r="R24" s="492">
        <f t="shared" si="29"/>
        <v>674773956.17610002</v>
      </c>
      <c r="S24" s="492">
        <f t="shared" si="4"/>
        <v>126088343.92935</v>
      </c>
      <c r="T24" s="390">
        <v>33</v>
      </c>
      <c r="U24" s="492">
        <f t="shared" si="5"/>
        <v>46915871.275349997</v>
      </c>
      <c r="V24" s="390">
        <v>33</v>
      </c>
      <c r="W24" s="492">
        <f t="shared" si="6"/>
        <v>46915871.275349997</v>
      </c>
      <c r="X24" s="390">
        <v>33</v>
      </c>
      <c r="Y24" s="492">
        <f t="shared" si="7"/>
        <v>46915871.275349997</v>
      </c>
      <c r="Z24" s="390">
        <v>33</v>
      </c>
      <c r="AA24" s="492">
        <f t="shared" si="8"/>
        <v>46915871.275349997</v>
      </c>
      <c r="AB24" s="390">
        <v>33</v>
      </c>
      <c r="AC24" s="492">
        <f t="shared" si="9"/>
        <v>46915871.275349997</v>
      </c>
      <c r="AD24" s="390">
        <v>33</v>
      </c>
      <c r="AE24" s="492">
        <f t="shared" si="10"/>
        <v>114220456.67999998</v>
      </c>
      <c r="AF24" s="390">
        <v>40</v>
      </c>
      <c r="AG24" s="492">
        <f t="shared" si="11"/>
        <v>85665342.509999976</v>
      </c>
      <c r="AH24" s="390">
        <v>30</v>
      </c>
      <c r="AI24" s="492">
        <f t="shared" si="12"/>
        <v>57110228.339999989</v>
      </c>
      <c r="AJ24" s="390">
        <v>20</v>
      </c>
      <c r="AK24" s="492">
        <f t="shared" si="13"/>
        <v>42832671.254999988</v>
      </c>
      <c r="AL24" s="390">
        <v>15</v>
      </c>
      <c r="AM24" s="492">
        <f t="shared" si="14"/>
        <v>14277557.084999997</v>
      </c>
      <c r="AN24" s="390">
        <v>5</v>
      </c>
      <c r="AO24" s="492">
        <f t="shared" si="15"/>
        <v>0</v>
      </c>
      <c r="AP24" s="390"/>
      <c r="AQ24" s="377" t="s">
        <v>676</v>
      </c>
    </row>
    <row r="25" spans="3:43" ht="27" thickBot="1">
      <c r="C25" s="377">
        <f t="shared" si="16"/>
        <v>1456691363.0177999</v>
      </c>
      <c r="D25" s="377">
        <f t="shared" si="17"/>
        <v>129909202.8363</v>
      </c>
      <c r="E25" s="377">
        <f t="shared" si="18"/>
        <v>48337564.344299994</v>
      </c>
      <c r="F25" s="377">
        <f t="shared" si="19"/>
        <v>48337564.344299994</v>
      </c>
      <c r="G25" s="377">
        <f t="shared" si="20"/>
        <v>48337564.344299994</v>
      </c>
      <c r="H25" s="377">
        <f t="shared" si="21"/>
        <v>48337564.344299994</v>
      </c>
      <c r="I25" s="377">
        <f t="shared" si="22"/>
        <v>48337564.344299994</v>
      </c>
      <c r="J25" s="377">
        <f t="shared" si="23"/>
        <v>57110228.339999989</v>
      </c>
      <c r="K25" s="377">
        <f t="shared" si="24"/>
        <v>114220456.67999998</v>
      </c>
      <c r="L25" s="377">
        <f t="shared" si="25"/>
        <v>171330685.01999995</v>
      </c>
      <c r="M25" s="377">
        <f t="shared" si="26"/>
        <v>199885799.18999994</v>
      </c>
      <c r="N25" s="377">
        <f t="shared" si="27"/>
        <v>256996027.52999994</v>
      </c>
      <c r="O25" s="377">
        <f t="shared" si="28"/>
        <v>285551141.69999993</v>
      </c>
      <c r="P25" s="377" t="s">
        <v>677</v>
      </c>
      <c r="Q25" s="491"/>
      <c r="R25" s="492">
        <f t="shared" si="29"/>
        <v>1456691363.0177999</v>
      </c>
      <c r="S25" s="492">
        <f t="shared" si="4"/>
        <v>129909202.8363</v>
      </c>
      <c r="T25" s="390">
        <v>34</v>
      </c>
      <c r="U25" s="492">
        <f t="shared" si="5"/>
        <v>48337564.344299994</v>
      </c>
      <c r="V25" s="390">
        <v>34</v>
      </c>
      <c r="W25" s="492">
        <f t="shared" si="6"/>
        <v>48337564.344299994</v>
      </c>
      <c r="X25" s="390">
        <v>34</v>
      </c>
      <c r="Y25" s="492">
        <f t="shared" si="7"/>
        <v>48337564.344299994</v>
      </c>
      <c r="Z25" s="390">
        <v>34</v>
      </c>
      <c r="AA25" s="492">
        <f t="shared" si="8"/>
        <v>48337564.344299994</v>
      </c>
      <c r="AB25" s="390">
        <v>34</v>
      </c>
      <c r="AC25" s="492">
        <f t="shared" si="9"/>
        <v>48337564.344299994</v>
      </c>
      <c r="AD25" s="390">
        <v>34</v>
      </c>
      <c r="AE25" s="492">
        <f t="shared" si="10"/>
        <v>57110228.339999989</v>
      </c>
      <c r="AF25" s="390">
        <v>20</v>
      </c>
      <c r="AG25" s="492">
        <f t="shared" si="11"/>
        <v>114220456.67999998</v>
      </c>
      <c r="AH25" s="390">
        <v>40</v>
      </c>
      <c r="AI25" s="492">
        <f t="shared" si="12"/>
        <v>171330685.01999995</v>
      </c>
      <c r="AJ25" s="390">
        <v>60</v>
      </c>
      <c r="AK25" s="492">
        <f t="shared" si="13"/>
        <v>199885799.18999994</v>
      </c>
      <c r="AL25" s="390">
        <v>70</v>
      </c>
      <c r="AM25" s="492">
        <f t="shared" si="14"/>
        <v>256996027.52999994</v>
      </c>
      <c r="AN25" s="390">
        <v>90</v>
      </c>
      <c r="AO25" s="492">
        <f t="shared" si="15"/>
        <v>285551141.69999993</v>
      </c>
      <c r="AP25" s="390">
        <v>100</v>
      </c>
      <c r="AQ25" s="377" t="s">
        <v>823</v>
      </c>
    </row>
    <row r="26" spans="3:43" ht="27.75" thickTop="1" thickBot="1">
      <c r="C26" s="443">
        <f t="shared" ref="C26:O26" si="30">SUM(C21:C25)</f>
        <v>2806239275.3699999</v>
      </c>
      <c r="D26" s="443">
        <f t="shared" si="30"/>
        <v>382085890.69499999</v>
      </c>
      <c r="E26" s="443">
        <f t="shared" si="30"/>
        <v>142169306.89499998</v>
      </c>
      <c r="F26" s="443">
        <f t="shared" si="30"/>
        <v>142169306.89499998</v>
      </c>
      <c r="G26" s="443">
        <f t="shared" si="30"/>
        <v>142169306.89499998</v>
      </c>
      <c r="H26" s="443">
        <f t="shared" si="30"/>
        <v>142169306.89499998</v>
      </c>
      <c r="I26" s="443">
        <f t="shared" si="30"/>
        <v>142169306.89499998</v>
      </c>
      <c r="J26" s="443">
        <f t="shared" si="30"/>
        <v>285551141.69999993</v>
      </c>
      <c r="K26" s="443">
        <f t="shared" si="30"/>
        <v>285551141.69999993</v>
      </c>
      <c r="L26" s="443">
        <f t="shared" si="30"/>
        <v>285551141.69999993</v>
      </c>
      <c r="M26" s="443">
        <f t="shared" si="30"/>
        <v>285551141.69999993</v>
      </c>
      <c r="N26" s="443">
        <f t="shared" si="30"/>
        <v>285551141.69999993</v>
      </c>
      <c r="O26" s="443">
        <f t="shared" si="30"/>
        <v>285551141.69999993</v>
      </c>
      <c r="P26" s="443" t="s">
        <v>12</v>
      </c>
      <c r="Q26" s="452"/>
      <c r="R26" s="492">
        <f t="shared" ref="R26:AP26" si="31">SUM(R21:R25)</f>
        <v>2806239275.3699999</v>
      </c>
      <c r="S26" s="492">
        <f t="shared" si="31"/>
        <v>382085890.69499999</v>
      </c>
      <c r="T26" s="492">
        <f t="shared" si="31"/>
        <v>100</v>
      </c>
      <c r="U26" s="492">
        <f t="shared" si="31"/>
        <v>142169306.89499998</v>
      </c>
      <c r="V26" s="492">
        <f t="shared" si="31"/>
        <v>100</v>
      </c>
      <c r="W26" s="492">
        <f t="shared" si="31"/>
        <v>142169306.89499998</v>
      </c>
      <c r="X26" s="492">
        <f t="shared" si="31"/>
        <v>100</v>
      </c>
      <c r="Y26" s="492">
        <f t="shared" si="31"/>
        <v>142169306.89499998</v>
      </c>
      <c r="Z26" s="492">
        <f t="shared" si="31"/>
        <v>100</v>
      </c>
      <c r="AA26" s="492">
        <f t="shared" si="31"/>
        <v>142169306.89499998</v>
      </c>
      <c r="AB26" s="492">
        <f t="shared" si="31"/>
        <v>100</v>
      </c>
      <c r="AC26" s="492">
        <f t="shared" si="31"/>
        <v>142169306.89499998</v>
      </c>
      <c r="AD26" s="492">
        <f t="shared" si="31"/>
        <v>100</v>
      </c>
      <c r="AE26" s="492">
        <f t="shared" si="31"/>
        <v>285551141.69999993</v>
      </c>
      <c r="AF26" s="492">
        <f t="shared" si="31"/>
        <v>100</v>
      </c>
      <c r="AG26" s="492">
        <f t="shared" si="31"/>
        <v>285551141.69999993</v>
      </c>
      <c r="AH26" s="492">
        <f t="shared" si="31"/>
        <v>100</v>
      </c>
      <c r="AI26" s="492">
        <f t="shared" si="31"/>
        <v>285551141.69999993</v>
      </c>
      <c r="AJ26" s="492">
        <f t="shared" si="31"/>
        <v>100</v>
      </c>
      <c r="AK26" s="492">
        <f t="shared" si="31"/>
        <v>285551141.69999993</v>
      </c>
      <c r="AL26" s="492">
        <f t="shared" si="31"/>
        <v>100</v>
      </c>
      <c r="AM26" s="492">
        <f t="shared" si="31"/>
        <v>285551141.69999993</v>
      </c>
      <c r="AN26" s="492">
        <f t="shared" si="31"/>
        <v>100</v>
      </c>
      <c r="AO26" s="492">
        <f t="shared" si="31"/>
        <v>285551141.69999993</v>
      </c>
      <c r="AP26" s="492">
        <f t="shared" si="31"/>
        <v>100</v>
      </c>
      <c r="AQ26" s="441" t="s">
        <v>683</v>
      </c>
    </row>
    <row r="27" spans="3:43" ht="27.75" thickTop="1" thickBot="1"/>
    <row r="28" spans="3:43" ht="27.75" customHeight="1" thickTop="1" thickBot="1">
      <c r="C28" s="627" t="str">
        <f t="shared" ref="C28:N28" si="32">C19</f>
        <v>جمع کل</v>
      </c>
      <c r="D28" s="389" t="str">
        <f t="shared" si="32"/>
        <v>اسفند</v>
      </c>
      <c r="E28" s="389" t="str">
        <f t="shared" si="32"/>
        <v>بهمن</v>
      </c>
      <c r="F28" s="389" t="str">
        <f t="shared" si="32"/>
        <v>دی</v>
      </c>
      <c r="G28" s="389" t="str">
        <f t="shared" si="32"/>
        <v>اذر</v>
      </c>
      <c r="H28" s="389" t="str">
        <f t="shared" si="32"/>
        <v>ابان</v>
      </c>
      <c r="I28" s="389" t="str">
        <f t="shared" si="32"/>
        <v>مهر</v>
      </c>
      <c r="J28" s="389" t="str">
        <f t="shared" si="32"/>
        <v>شهریور</v>
      </c>
      <c r="K28" s="389" t="str">
        <f t="shared" si="32"/>
        <v>مرداد</v>
      </c>
      <c r="L28" s="389" t="str">
        <f t="shared" si="32"/>
        <v xml:space="preserve">تیر </v>
      </c>
      <c r="M28" s="389" t="str">
        <f t="shared" si="32"/>
        <v>خرداد</v>
      </c>
      <c r="N28" s="389" t="str">
        <f t="shared" si="32"/>
        <v>اردیبهشت</v>
      </c>
      <c r="O28" s="389" t="str">
        <f>O19</f>
        <v>فروردین</v>
      </c>
      <c r="P28" s="635" t="s">
        <v>696</v>
      </c>
      <c r="Q28" s="637" t="s">
        <v>695</v>
      </c>
      <c r="R28" s="496"/>
    </row>
    <row r="29" spans="3:43" ht="27" thickBot="1">
      <c r="C29" s="627"/>
      <c r="D29" s="493" t="str">
        <f t="shared" ref="D29:N29" si="33">D20</f>
        <v>ریال</v>
      </c>
      <c r="E29" s="493" t="str">
        <f t="shared" si="33"/>
        <v>ریال</v>
      </c>
      <c r="F29" s="493" t="str">
        <f t="shared" si="33"/>
        <v>ریال</v>
      </c>
      <c r="G29" s="493" t="str">
        <f t="shared" si="33"/>
        <v>ریال</v>
      </c>
      <c r="H29" s="493" t="str">
        <f t="shared" si="33"/>
        <v>ریال</v>
      </c>
      <c r="I29" s="493" t="str">
        <f t="shared" si="33"/>
        <v>ریال</v>
      </c>
      <c r="J29" s="493" t="str">
        <f t="shared" si="33"/>
        <v>ریال</v>
      </c>
      <c r="K29" s="493" t="str">
        <f t="shared" si="33"/>
        <v>ریال</v>
      </c>
      <c r="L29" s="493" t="str">
        <f t="shared" si="33"/>
        <v>ریال</v>
      </c>
      <c r="M29" s="493" t="str">
        <f t="shared" si="33"/>
        <v>ریال</v>
      </c>
      <c r="N29" s="493" t="str">
        <f t="shared" si="33"/>
        <v>ریال</v>
      </c>
      <c r="O29" s="493" t="str">
        <f>O20</f>
        <v>ریال</v>
      </c>
      <c r="P29" s="636"/>
      <c r="Q29" s="638"/>
      <c r="R29" s="497"/>
    </row>
    <row r="30" spans="3:43" ht="27" thickBot="1">
      <c r="C30" s="377">
        <f>SUM(D30:O30)</f>
        <v>0</v>
      </c>
      <c r="D30" s="280"/>
      <c r="E30" s="280"/>
      <c r="F30" s="280"/>
      <c r="G30" s="280"/>
      <c r="H30" s="280"/>
      <c r="I30" s="280"/>
      <c r="J30" s="280"/>
      <c r="K30" s="280"/>
      <c r="L30" s="280"/>
      <c r="M30" s="280"/>
      <c r="N30" s="280"/>
      <c r="O30" s="280"/>
      <c r="P30" s="442" t="s">
        <v>674</v>
      </c>
      <c r="Q30" s="638"/>
      <c r="R30" s="494"/>
    </row>
    <row r="31" spans="3:43" ht="27" thickBot="1">
      <c r="C31" s="377">
        <f t="shared" ref="C31:C37" si="34">SUM(D31:O31)</f>
        <v>0</v>
      </c>
      <c r="D31" s="280"/>
      <c r="E31" s="280"/>
      <c r="F31" s="280"/>
      <c r="G31" s="280"/>
      <c r="H31" s="280"/>
      <c r="I31" s="280"/>
      <c r="J31" s="280"/>
      <c r="K31" s="280"/>
      <c r="L31" s="280"/>
      <c r="M31" s="280"/>
      <c r="N31" s="280"/>
      <c r="O31" s="280"/>
      <c r="P31" s="442" t="s">
        <v>675</v>
      </c>
      <c r="Q31" s="638"/>
      <c r="R31" s="494"/>
    </row>
    <row r="32" spans="3:43" ht="27" thickBot="1">
      <c r="C32" s="377">
        <f t="shared" si="34"/>
        <v>4050000000</v>
      </c>
      <c r="D32" s="280"/>
      <c r="E32" s="280"/>
      <c r="F32" s="280"/>
      <c r="G32" s="280"/>
      <c r="H32" s="280"/>
      <c r="I32" s="280"/>
      <c r="J32" s="280">
        <v>500000000</v>
      </c>
      <c r="K32" s="280">
        <v>500000000</v>
      </c>
      <c r="L32" s="280">
        <v>500000000</v>
      </c>
      <c r="M32" s="280">
        <v>1400000000</v>
      </c>
      <c r="N32" s="280">
        <v>1150000000</v>
      </c>
      <c r="O32" s="280"/>
      <c r="P32" s="442" t="s">
        <v>80</v>
      </c>
      <c r="Q32" s="638"/>
      <c r="R32" s="494"/>
    </row>
    <row r="33" spans="3:18" ht="27" thickBot="1">
      <c r="C33" s="377">
        <f t="shared" si="34"/>
        <v>10500000000</v>
      </c>
      <c r="D33" s="280"/>
      <c r="E33" s="280"/>
      <c r="F33" s="280"/>
      <c r="G33" s="280"/>
      <c r="H33" s="280"/>
      <c r="I33" s="280"/>
      <c r="J33" s="280">
        <v>1500000000</v>
      </c>
      <c r="K33" s="280">
        <v>5000000000</v>
      </c>
      <c r="L33" s="280">
        <v>1100000000</v>
      </c>
      <c r="M33" s="280">
        <v>1600000000</v>
      </c>
      <c r="N33" s="280">
        <v>1300000000</v>
      </c>
      <c r="O33" s="280"/>
      <c r="P33" s="442" t="s">
        <v>676</v>
      </c>
      <c r="Q33" s="638"/>
      <c r="R33" s="494"/>
    </row>
    <row r="34" spans="3:18" ht="27" thickBot="1">
      <c r="C34" s="377">
        <f t="shared" si="34"/>
        <v>1000000000</v>
      </c>
      <c r="D34" s="390"/>
      <c r="E34" s="390"/>
      <c r="F34" s="390"/>
      <c r="G34" s="390"/>
      <c r="H34" s="390"/>
      <c r="I34" s="390"/>
      <c r="J34" s="390">
        <v>1000000000</v>
      </c>
      <c r="K34" s="390"/>
      <c r="L34" s="390"/>
      <c r="M34" s="390"/>
      <c r="N34" s="390"/>
      <c r="O34" s="390"/>
      <c r="P34" s="377" t="s">
        <v>287</v>
      </c>
      <c r="Q34" s="638"/>
      <c r="R34" s="494"/>
    </row>
    <row r="35" spans="3:18" ht="27" thickBot="1">
      <c r="C35" s="377">
        <f t="shared" si="34"/>
        <v>1000000000</v>
      </c>
      <c r="D35" s="390"/>
      <c r="E35" s="390"/>
      <c r="F35" s="390"/>
      <c r="G35" s="390"/>
      <c r="H35" s="390"/>
      <c r="I35" s="390"/>
      <c r="J35" s="390"/>
      <c r="K35" s="390"/>
      <c r="L35" s="390"/>
      <c r="M35" s="390"/>
      <c r="N35" s="390">
        <v>1000000000</v>
      </c>
      <c r="O35" s="390"/>
      <c r="P35" s="377" t="s">
        <v>697</v>
      </c>
      <c r="Q35" s="638"/>
      <c r="R35" s="494"/>
    </row>
    <row r="36" spans="3:18" ht="27" thickBot="1">
      <c r="C36" s="377">
        <f t="shared" si="34"/>
        <v>2000000000</v>
      </c>
      <c r="D36" s="390"/>
      <c r="E36" s="390"/>
      <c r="F36" s="390"/>
      <c r="G36" s="390"/>
      <c r="H36" s="390"/>
      <c r="I36" s="390"/>
      <c r="J36" s="390">
        <v>2000000000</v>
      </c>
      <c r="K36" s="390"/>
      <c r="L36" s="390"/>
      <c r="M36" s="390"/>
      <c r="N36" s="390"/>
      <c r="O36" s="390"/>
      <c r="P36" s="377" t="s">
        <v>698</v>
      </c>
      <c r="Q36" s="638"/>
      <c r="R36" s="494"/>
    </row>
    <row r="37" spans="3:18" ht="27" thickBot="1">
      <c r="C37" s="377">
        <f t="shared" si="34"/>
        <v>3300000000</v>
      </c>
      <c r="D37" s="390"/>
      <c r="E37" s="390"/>
      <c r="F37" s="390"/>
      <c r="G37" s="390"/>
      <c r="H37" s="390"/>
      <c r="I37" s="390"/>
      <c r="J37" s="390">
        <v>500000000</v>
      </c>
      <c r="K37" s="390">
        <v>500000000</v>
      </c>
      <c r="L37" s="390"/>
      <c r="M37" s="390">
        <v>1100000000</v>
      </c>
      <c r="N37" s="390"/>
      <c r="O37" s="390">
        <v>1200000000</v>
      </c>
      <c r="P37" s="377" t="s">
        <v>713</v>
      </c>
      <c r="Q37" s="638"/>
      <c r="R37" s="494"/>
    </row>
    <row r="38" spans="3:18" ht="27" thickBot="1">
      <c r="C38" s="444">
        <f t="shared" ref="C38:N38" si="35">SUM(C30:C37)</f>
        <v>21850000000</v>
      </c>
      <c r="D38" s="444">
        <f t="shared" si="35"/>
        <v>0</v>
      </c>
      <c r="E38" s="444">
        <f t="shared" si="35"/>
        <v>0</v>
      </c>
      <c r="F38" s="444">
        <f t="shared" si="35"/>
        <v>0</v>
      </c>
      <c r="G38" s="444">
        <f t="shared" si="35"/>
        <v>0</v>
      </c>
      <c r="H38" s="444">
        <f t="shared" si="35"/>
        <v>0</v>
      </c>
      <c r="I38" s="444">
        <f t="shared" si="35"/>
        <v>0</v>
      </c>
      <c r="J38" s="444">
        <f t="shared" si="35"/>
        <v>5500000000</v>
      </c>
      <c r="K38" s="444">
        <f t="shared" si="35"/>
        <v>6000000000</v>
      </c>
      <c r="L38" s="444">
        <f t="shared" si="35"/>
        <v>1600000000</v>
      </c>
      <c r="M38" s="444">
        <f t="shared" si="35"/>
        <v>4100000000</v>
      </c>
      <c r="N38" s="444">
        <f t="shared" si="35"/>
        <v>3450000000</v>
      </c>
      <c r="O38" s="444">
        <f>SUM(O30:O37)</f>
        <v>1200000000</v>
      </c>
      <c r="P38" s="445" t="s">
        <v>189</v>
      </c>
      <c r="Q38" s="639"/>
      <c r="R38" s="494"/>
    </row>
    <row r="39" spans="3:18" ht="27.75" thickTop="1" thickBot="1"/>
    <row r="40" spans="3:18" ht="27.75" thickTop="1" thickBot="1">
      <c r="C40" s="374" t="str">
        <f t="shared" ref="C40:N40" si="36">C28</f>
        <v>جمع کل</v>
      </c>
      <c r="D40" s="374" t="str">
        <f t="shared" si="36"/>
        <v>اسفند</v>
      </c>
      <c r="E40" s="374" t="str">
        <f t="shared" si="36"/>
        <v>بهمن</v>
      </c>
      <c r="F40" s="374" t="str">
        <f t="shared" si="36"/>
        <v>دی</v>
      </c>
      <c r="G40" s="374" t="str">
        <f t="shared" si="36"/>
        <v>اذر</v>
      </c>
      <c r="H40" s="374" t="str">
        <f t="shared" si="36"/>
        <v>ابان</v>
      </c>
      <c r="I40" s="374" t="str">
        <f t="shared" si="36"/>
        <v>مهر</v>
      </c>
      <c r="J40" s="374" t="str">
        <f t="shared" si="36"/>
        <v>شهریور</v>
      </c>
      <c r="K40" s="374" t="str">
        <f t="shared" si="36"/>
        <v>مرداد</v>
      </c>
      <c r="L40" s="374" t="str">
        <f t="shared" si="36"/>
        <v xml:space="preserve">تیر </v>
      </c>
      <c r="M40" s="374" t="str">
        <f t="shared" si="36"/>
        <v>خرداد</v>
      </c>
      <c r="N40" s="374" t="str">
        <f t="shared" si="36"/>
        <v>اردیبهشت</v>
      </c>
      <c r="O40" s="374" t="str">
        <f>O28</f>
        <v>فروردین</v>
      </c>
      <c r="P40" s="633" t="s">
        <v>678</v>
      </c>
    </row>
    <row r="41" spans="3:18" ht="27.75" thickTop="1" thickBot="1">
      <c r="C41" s="374">
        <f t="shared" ref="C41:N41" si="37">C29</f>
        <v>0</v>
      </c>
      <c r="D41" s="374" t="str">
        <f t="shared" si="37"/>
        <v>ریال</v>
      </c>
      <c r="E41" s="374" t="str">
        <f t="shared" si="37"/>
        <v>ریال</v>
      </c>
      <c r="F41" s="374" t="str">
        <f t="shared" si="37"/>
        <v>ریال</v>
      </c>
      <c r="G41" s="374" t="str">
        <f t="shared" si="37"/>
        <v>ریال</v>
      </c>
      <c r="H41" s="374" t="str">
        <f t="shared" si="37"/>
        <v>ریال</v>
      </c>
      <c r="I41" s="374" t="str">
        <f t="shared" si="37"/>
        <v>ریال</v>
      </c>
      <c r="J41" s="374" t="str">
        <f t="shared" si="37"/>
        <v>ریال</v>
      </c>
      <c r="K41" s="374" t="str">
        <f t="shared" si="37"/>
        <v>ریال</v>
      </c>
      <c r="L41" s="374" t="str">
        <f t="shared" si="37"/>
        <v>ریال</v>
      </c>
      <c r="M41" s="374" t="str">
        <f t="shared" si="37"/>
        <v>ریال</v>
      </c>
      <c r="N41" s="374" t="str">
        <f t="shared" si="37"/>
        <v>ریال</v>
      </c>
      <c r="O41" s="374" t="str">
        <f>O29</f>
        <v>ریال</v>
      </c>
      <c r="P41" s="633"/>
    </row>
    <row r="42" spans="3:18" ht="27.75" thickTop="1" thickBot="1">
      <c r="C42" s="378">
        <f t="shared" ref="C42:O42" si="38">C30+C21</f>
        <v>0</v>
      </c>
      <c r="D42" s="378">
        <f t="shared" si="38"/>
        <v>0</v>
      </c>
      <c r="E42" s="378">
        <f t="shared" si="38"/>
        <v>0</v>
      </c>
      <c r="F42" s="378">
        <f t="shared" si="38"/>
        <v>0</v>
      </c>
      <c r="G42" s="378">
        <f t="shared" si="38"/>
        <v>0</v>
      </c>
      <c r="H42" s="378">
        <f t="shared" si="38"/>
        <v>0</v>
      </c>
      <c r="I42" s="378">
        <f t="shared" si="38"/>
        <v>0</v>
      </c>
      <c r="J42" s="378">
        <f t="shared" si="38"/>
        <v>0</v>
      </c>
      <c r="K42" s="378">
        <f t="shared" si="38"/>
        <v>0</v>
      </c>
      <c r="L42" s="378">
        <f t="shared" si="38"/>
        <v>0</v>
      </c>
      <c r="M42" s="378">
        <f t="shared" si="38"/>
        <v>0</v>
      </c>
      <c r="N42" s="378">
        <f t="shared" si="38"/>
        <v>0</v>
      </c>
      <c r="O42" s="378">
        <f t="shared" si="38"/>
        <v>0</v>
      </c>
      <c r="P42" s="378" t="s">
        <v>674</v>
      </c>
    </row>
    <row r="43" spans="3:18" ht="27.75" thickTop="1" thickBot="1">
      <c r="C43" s="378">
        <f t="shared" ref="C43:O43" si="39">C31+C22</f>
        <v>0</v>
      </c>
      <c r="D43" s="378">
        <f t="shared" si="39"/>
        <v>0</v>
      </c>
      <c r="E43" s="378">
        <f t="shared" si="39"/>
        <v>0</v>
      </c>
      <c r="F43" s="378">
        <f t="shared" si="39"/>
        <v>0</v>
      </c>
      <c r="G43" s="378">
        <f t="shared" si="39"/>
        <v>0</v>
      </c>
      <c r="H43" s="378">
        <f t="shared" si="39"/>
        <v>0</v>
      </c>
      <c r="I43" s="378">
        <f t="shared" si="39"/>
        <v>0</v>
      </c>
      <c r="J43" s="378">
        <f t="shared" si="39"/>
        <v>0</v>
      </c>
      <c r="K43" s="378">
        <f t="shared" si="39"/>
        <v>0</v>
      </c>
      <c r="L43" s="378">
        <f t="shared" si="39"/>
        <v>0</v>
      </c>
      <c r="M43" s="378">
        <f t="shared" si="39"/>
        <v>0</v>
      </c>
      <c r="N43" s="378">
        <f t="shared" si="39"/>
        <v>0</v>
      </c>
      <c r="O43" s="378">
        <f t="shared" si="39"/>
        <v>0</v>
      </c>
      <c r="P43" s="378" t="s">
        <v>675</v>
      </c>
    </row>
    <row r="44" spans="3:18" ht="27.75" thickTop="1" thickBot="1">
      <c r="C44" s="378">
        <f t="shared" ref="C44:O44" si="40">C32+C23</f>
        <v>4724773956.1760998</v>
      </c>
      <c r="D44" s="378">
        <f t="shared" si="40"/>
        <v>126088343.92935</v>
      </c>
      <c r="E44" s="378">
        <f t="shared" si="40"/>
        <v>46915871.275349997</v>
      </c>
      <c r="F44" s="378">
        <f t="shared" si="40"/>
        <v>46915871.275349997</v>
      </c>
      <c r="G44" s="378">
        <f t="shared" si="40"/>
        <v>46915871.275349997</v>
      </c>
      <c r="H44" s="378">
        <f t="shared" si="40"/>
        <v>46915871.275349997</v>
      </c>
      <c r="I44" s="378">
        <f t="shared" si="40"/>
        <v>46915871.275349997</v>
      </c>
      <c r="J44" s="378">
        <f t="shared" si="40"/>
        <v>614220456.67999995</v>
      </c>
      <c r="K44" s="378">
        <f t="shared" si="40"/>
        <v>585665342.50999999</v>
      </c>
      <c r="L44" s="378">
        <f t="shared" si="40"/>
        <v>557110228.34000003</v>
      </c>
      <c r="M44" s="378">
        <f t="shared" si="40"/>
        <v>1442832671.2549999</v>
      </c>
      <c r="N44" s="378">
        <f t="shared" si="40"/>
        <v>1164277557.085</v>
      </c>
      <c r="O44" s="378">
        <f t="shared" si="40"/>
        <v>0</v>
      </c>
      <c r="P44" s="378" t="s">
        <v>80</v>
      </c>
    </row>
    <row r="45" spans="3:18" ht="27.75" thickTop="1" thickBot="1">
      <c r="C45" s="378">
        <f t="shared" ref="C45:O45" si="41">C33+C24</f>
        <v>11174773956.1761</v>
      </c>
      <c r="D45" s="378">
        <f t="shared" si="41"/>
        <v>126088343.92935</v>
      </c>
      <c r="E45" s="378">
        <f t="shared" si="41"/>
        <v>46915871.275349997</v>
      </c>
      <c r="F45" s="378">
        <f t="shared" si="41"/>
        <v>46915871.275349997</v>
      </c>
      <c r="G45" s="378">
        <f t="shared" si="41"/>
        <v>46915871.275349997</v>
      </c>
      <c r="H45" s="378">
        <f t="shared" si="41"/>
        <v>46915871.275349997</v>
      </c>
      <c r="I45" s="378">
        <f t="shared" si="41"/>
        <v>46915871.275349997</v>
      </c>
      <c r="J45" s="378">
        <f t="shared" si="41"/>
        <v>1614220456.6800001</v>
      </c>
      <c r="K45" s="378">
        <f t="shared" si="41"/>
        <v>5085665342.5100002</v>
      </c>
      <c r="L45" s="378">
        <f t="shared" si="41"/>
        <v>1157110228.3399999</v>
      </c>
      <c r="M45" s="378">
        <f t="shared" si="41"/>
        <v>1642832671.2549999</v>
      </c>
      <c r="N45" s="378">
        <f t="shared" si="41"/>
        <v>1314277557.085</v>
      </c>
      <c r="O45" s="378">
        <f t="shared" si="41"/>
        <v>0</v>
      </c>
      <c r="P45" s="378" t="s">
        <v>676</v>
      </c>
    </row>
    <row r="46" spans="3:18" ht="27.75" thickTop="1" thickBot="1">
      <c r="C46" s="378">
        <f>C34</f>
        <v>1000000000</v>
      </c>
      <c r="D46" s="378">
        <f t="shared" ref="D46:N46" si="42">D34</f>
        <v>0</v>
      </c>
      <c r="E46" s="378">
        <f t="shared" si="42"/>
        <v>0</v>
      </c>
      <c r="F46" s="378">
        <f t="shared" si="42"/>
        <v>0</v>
      </c>
      <c r="G46" s="378">
        <f t="shared" si="42"/>
        <v>0</v>
      </c>
      <c r="H46" s="378">
        <f t="shared" si="42"/>
        <v>0</v>
      </c>
      <c r="I46" s="378">
        <f t="shared" si="42"/>
        <v>0</v>
      </c>
      <c r="J46" s="378">
        <f t="shared" si="42"/>
        <v>1000000000</v>
      </c>
      <c r="K46" s="378">
        <f t="shared" si="42"/>
        <v>0</v>
      </c>
      <c r="L46" s="378">
        <f t="shared" si="42"/>
        <v>0</v>
      </c>
      <c r="M46" s="378">
        <f t="shared" si="42"/>
        <v>0</v>
      </c>
      <c r="N46" s="378">
        <f t="shared" si="42"/>
        <v>0</v>
      </c>
      <c r="O46" s="378">
        <f>O34</f>
        <v>0</v>
      </c>
      <c r="P46" s="378" t="s">
        <v>287</v>
      </c>
    </row>
    <row r="47" spans="3:18" ht="27.75" thickTop="1" thickBot="1">
      <c r="C47" s="378">
        <f>C35</f>
        <v>1000000000</v>
      </c>
      <c r="D47" s="378">
        <f t="shared" ref="D47:N48" si="43">D35</f>
        <v>0</v>
      </c>
      <c r="E47" s="378">
        <f t="shared" si="43"/>
        <v>0</v>
      </c>
      <c r="F47" s="378">
        <f t="shared" si="43"/>
        <v>0</v>
      </c>
      <c r="G47" s="378">
        <f t="shared" si="43"/>
        <v>0</v>
      </c>
      <c r="H47" s="378">
        <f t="shared" si="43"/>
        <v>0</v>
      </c>
      <c r="I47" s="378">
        <f t="shared" si="43"/>
        <v>0</v>
      </c>
      <c r="J47" s="378">
        <f t="shared" si="43"/>
        <v>0</v>
      </c>
      <c r="K47" s="378">
        <f t="shared" si="43"/>
        <v>0</v>
      </c>
      <c r="L47" s="378">
        <f t="shared" si="43"/>
        <v>0</v>
      </c>
      <c r="M47" s="378">
        <f t="shared" si="43"/>
        <v>0</v>
      </c>
      <c r="N47" s="378">
        <f t="shared" si="43"/>
        <v>1000000000</v>
      </c>
      <c r="O47" s="378">
        <f>O35</f>
        <v>0</v>
      </c>
      <c r="P47" s="377" t="s">
        <v>697</v>
      </c>
    </row>
    <row r="48" spans="3:18" ht="27.75" thickTop="1" thickBot="1">
      <c r="C48" s="378">
        <f t="shared" ref="C48" si="44">C36</f>
        <v>2000000000</v>
      </c>
      <c r="D48" s="378">
        <f t="shared" si="43"/>
        <v>0</v>
      </c>
      <c r="E48" s="378">
        <f t="shared" si="43"/>
        <v>0</v>
      </c>
      <c r="F48" s="378">
        <f t="shared" si="43"/>
        <v>0</v>
      </c>
      <c r="G48" s="378">
        <f t="shared" si="43"/>
        <v>0</v>
      </c>
      <c r="H48" s="378">
        <f t="shared" si="43"/>
        <v>0</v>
      </c>
      <c r="I48" s="378">
        <f t="shared" si="43"/>
        <v>0</v>
      </c>
      <c r="J48" s="378">
        <f t="shared" si="43"/>
        <v>2000000000</v>
      </c>
      <c r="K48" s="378">
        <f t="shared" si="43"/>
        <v>0</v>
      </c>
      <c r="L48" s="378">
        <f t="shared" si="43"/>
        <v>0</v>
      </c>
      <c r="M48" s="378">
        <f t="shared" si="43"/>
        <v>0</v>
      </c>
      <c r="N48" s="378">
        <f t="shared" si="43"/>
        <v>0</v>
      </c>
      <c r="O48" s="378">
        <f t="shared" ref="O48" si="45">O36</f>
        <v>0</v>
      </c>
      <c r="P48" s="377" t="s">
        <v>698</v>
      </c>
    </row>
    <row r="49" spans="3:16" ht="27.75" thickTop="1" thickBot="1">
      <c r="C49" s="378">
        <f t="shared" ref="C49:O49" si="46">C37+C25</f>
        <v>4756691363.0177994</v>
      </c>
      <c r="D49" s="378">
        <f t="shared" si="46"/>
        <v>129909202.8363</v>
      </c>
      <c r="E49" s="378">
        <f t="shared" si="46"/>
        <v>48337564.344299994</v>
      </c>
      <c r="F49" s="378">
        <f t="shared" si="46"/>
        <v>48337564.344299994</v>
      </c>
      <c r="G49" s="378">
        <f t="shared" si="46"/>
        <v>48337564.344299994</v>
      </c>
      <c r="H49" s="378">
        <f t="shared" si="46"/>
        <v>48337564.344299994</v>
      </c>
      <c r="I49" s="378">
        <f t="shared" si="46"/>
        <v>48337564.344299994</v>
      </c>
      <c r="J49" s="378">
        <f t="shared" si="46"/>
        <v>557110228.34000003</v>
      </c>
      <c r="K49" s="378">
        <f t="shared" si="46"/>
        <v>614220456.67999995</v>
      </c>
      <c r="L49" s="378">
        <f t="shared" si="46"/>
        <v>171330685.01999995</v>
      </c>
      <c r="M49" s="378">
        <f t="shared" si="46"/>
        <v>1299885799.1900001</v>
      </c>
      <c r="N49" s="378">
        <f t="shared" si="46"/>
        <v>256996027.52999994</v>
      </c>
      <c r="O49" s="378">
        <f t="shared" si="46"/>
        <v>1485551141.6999998</v>
      </c>
      <c r="P49" s="377" t="s">
        <v>713</v>
      </c>
    </row>
    <row r="50" spans="3:16" ht="27.75" thickTop="1" thickBot="1">
      <c r="C50" s="443">
        <f t="shared" ref="C50:N50" si="47">SUM(C42:C49)</f>
        <v>24656239275.369999</v>
      </c>
      <c r="D50" s="443">
        <f t="shared" si="47"/>
        <v>382085890.69499999</v>
      </c>
      <c r="E50" s="443">
        <f t="shared" si="47"/>
        <v>142169306.89499998</v>
      </c>
      <c r="F50" s="443">
        <f t="shared" si="47"/>
        <v>142169306.89499998</v>
      </c>
      <c r="G50" s="443">
        <f t="shared" si="47"/>
        <v>142169306.89499998</v>
      </c>
      <c r="H50" s="443">
        <f t="shared" si="47"/>
        <v>142169306.89499998</v>
      </c>
      <c r="I50" s="443">
        <f t="shared" si="47"/>
        <v>142169306.89499998</v>
      </c>
      <c r="J50" s="443">
        <f t="shared" si="47"/>
        <v>5785551141.7000008</v>
      </c>
      <c r="K50" s="443">
        <f t="shared" si="47"/>
        <v>6285551141.7000008</v>
      </c>
      <c r="L50" s="443">
        <f t="shared" si="47"/>
        <v>1885551141.6999998</v>
      </c>
      <c r="M50" s="443">
        <f t="shared" si="47"/>
        <v>4385551141.6999998</v>
      </c>
      <c r="N50" s="443">
        <f t="shared" si="47"/>
        <v>3735551141.6999998</v>
      </c>
      <c r="O50" s="443">
        <f>SUM(O42:O49)</f>
        <v>1485551141.6999998</v>
      </c>
      <c r="P50" s="443" t="s">
        <v>679</v>
      </c>
    </row>
    <row r="51" spans="3:16" ht="27" thickTop="1"/>
    <row r="52" spans="3:16" ht="27" thickBot="1"/>
    <row r="53" spans="3:16" ht="27.75" thickTop="1" thickBot="1">
      <c r="C53" s="417">
        <f t="shared" ref="C53:O53" si="48">C16+C38</f>
        <v>24553639275.369999</v>
      </c>
      <c r="D53" s="417">
        <f t="shared" si="48"/>
        <v>279485890.69499999</v>
      </c>
      <c r="E53" s="417">
        <f t="shared" si="48"/>
        <v>142169306.89499998</v>
      </c>
      <c r="F53" s="417">
        <f t="shared" si="48"/>
        <v>142169306.89499998</v>
      </c>
      <c r="G53" s="417">
        <f t="shared" si="48"/>
        <v>142169306.89499998</v>
      </c>
      <c r="H53" s="417">
        <f t="shared" si="48"/>
        <v>142169306.89499998</v>
      </c>
      <c r="I53" s="417">
        <f t="shared" si="48"/>
        <v>142169306.89499998</v>
      </c>
      <c r="J53" s="417">
        <f t="shared" si="48"/>
        <v>5785551141.6999998</v>
      </c>
      <c r="K53" s="417">
        <f t="shared" si="48"/>
        <v>6285551141.6999998</v>
      </c>
      <c r="L53" s="417">
        <f t="shared" si="48"/>
        <v>1885551141.6999998</v>
      </c>
      <c r="M53" s="417">
        <f t="shared" si="48"/>
        <v>4385551141.6999998</v>
      </c>
      <c r="N53" s="417">
        <f t="shared" si="48"/>
        <v>3735551141.6999998</v>
      </c>
      <c r="O53" s="417">
        <f t="shared" si="48"/>
        <v>1485551141.6999998</v>
      </c>
      <c r="P53" s="417" t="s">
        <v>680</v>
      </c>
    </row>
    <row r="54" spans="3:16" ht="27" thickTop="1"/>
  </sheetData>
  <mergeCells count="22">
    <mergeCell ref="P40:P41"/>
    <mergeCell ref="F2:P2"/>
    <mergeCell ref="C19:C20"/>
    <mergeCell ref="P19:P20"/>
    <mergeCell ref="Q19:Q20"/>
    <mergeCell ref="C28:C29"/>
    <mergeCell ref="P28:P29"/>
    <mergeCell ref="Q28:Q38"/>
    <mergeCell ref="W19:X19"/>
    <mergeCell ref="U19:V19"/>
    <mergeCell ref="R19:R20"/>
    <mergeCell ref="AQ19:AQ20"/>
    <mergeCell ref="AO19:AP19"/>
    <mergeCell ref="S19:T19"/>
    <mergeCell ref="AM19:AN19"/>
    <mergeCell ref="AK19:AL19"/>
    <mergeCell ref="AI19:AJ19"/>
    <mergeCell ref="AG19:AH19"/>
    <mergeCell ref="AE19:AF19"/>
    <mergeCell ref="AC19:AD19"/>
    <mergeCell ref="AA19:AB19"/>
    <mergeCell ref="Y19:Z19"/>
  </mergeCells>
  <hyperlinks>
    <hyperlink ref="F2:P2" r:id="rId1" location="'فهرست مطالب'!A1" display="دستمزد مستقیم تولیدی در سال بودجه          1300"/>
    <hyperlink ref="P1" location="'فهرست مطالب'!A1" display="دستمزد + خرید و احداث پروژه"/>
  </hyperlinks>
  <pageMargins left="0.7" right="0.7" top="0.75" bottom="0.75" header="0.3" footer="0.3"/>
  <pageSetup paperSize="9" orientation="portrait" horizontalDpi="300" verticalDpi="300"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C1:P35"/>
  <sheetViews>
    <sheetView topLeftCell="A12" zoomScale="60" zoomScaleNormal="60" workbookViewId="0">
      <selection activeCell="D23" sqref="D23"/>
    </sheetView>
  </sheetViews>
  <sheetFormatPr defaultColWidth="7.28515625" defaultRowHeight="26.25"/>
  <cols>
    <col min="1" max="1" width="7.28515625" style="276"/>
    <col min="2" max="2" width="22.28515625" style="276" bestFit="1" customWidth="1"/>
    <col min="3" max="3" width="42.42578125" style="276" bestFit="1" customWidth="1"/>
    <col min="4" max="4" width="36.28515625" style="276" bestFit="1" customWidth="1"/>
    <col min="5" max="14" width="25.140625" style="276" bestFit="1" customWidth="1"/>
    <col min="15" max="15" width="27.42578125" style="276" bestFit="1" customWidth="1"/>
    <col min="16" max="16" width="86.42578125" style="276" bestFit="1" customWidth="1"/>
    <col min="17" max="17" width="7.28515625" style="276"/>
    <col min="18" max="18" width="27.42578125" style="276" bestFit="1" customWidth="1"/>
    <col min="19" max="16384" width="7.28515625" style="276"/>
  </cols>
  <sheetData>
    <row r="1" spans="3:16" ht="29.25" thickBot="1">
      <c r="C1" s="292">
        <f>C5/12/'مراکز هزینه پرسنل'!B25*2</f>
        <v>31110967.741935477</v>
      </c>
      <c r="D1" s="292" t="s">
        <v>514</v>
      </c>
      <c r="P1" s="322" t="s">
        <v>572</v>
      </c>
    </row>
    <row r="2" spans="3:16" ht="27" thickBot="1">
      <c r="C2" s="292">
        <f>'محاسبه پایه حقوقی'!T26</f>
        <v>32084689.5</v>
      </c>
      <c r="D2" s="292" t="s">
        <v>515</v>
      </c>
      <c r="F2" s="621" t="s">
        <v>731</v>
      </c>
      <c r="G2" s="622"/>
      <c r="H2" s="622"/>
      <c r="I2" s="622"/>
      <c r="J2" s="622"/>
      <c r="K2" s="622"/>
      <c r="L2" s="622"/>
      <c r="M2" s="622"/>
      <c r="N2" s="622"/>
      <c r="O2" s="622"/>
      <c r="P2" s="623"/>
    </row>
    <row r="3" spans="3:16" ht="27" thickBot="1"/>
    <row r="4" spans="3:16" ht="32.25" customHeight="1" thickBot="1">
      <c r="C4" s="277" t="s">
        <v>42</v>
      </c>
      <c r="D4" s="277" t="s">
        <v>41</v>
      </c>
      <c r="E4" s="277" t="s">
        <v>10</v>
      </c>
      <c r="F4" s="277" t="s">
        <v>9</v>
      </c>
      <c r="G4" s="277" t="s">
        <v>8</v>
      </c>
      <c r="H4" s="277" t="s">
        <v>40</v>
      </c>
      <c r="I4" s="277" t="s">
        <v>6</v>
      </c>
      <c r="J4" s="277" t="s">
        <v>5</v>
      </c>
      <c r="K4" s="277" t="s">
        <v>4</v>
      </c>
      <c r="L4" s="277" t="s">
        <v>3</v>
      </c>
      <c r="M4" s="277" t="s">
        <v>2</v>
      </c>
      <c r="N4" s="277" t="s">
        <v>1</v>
      </c>
      <c r="O4" s="277" t="s">
        <v>39</v>
      </c>
      <c r="P4" s="277" t="s">
        <v>241</v>
      </c>
    </row>
    <row r="5" spans="3:16" ht="27" thickBot="1">
      <c r="C5" s="291">
        <f>SUM(D5:O5)</f>
        <v>3857759999.9999995</v>
      </c>
      <c r="D5" s="291">
        <f>'محاسبه پایه حقوقی'!D26</f>
        <v>357047999.99999994</v>
      </c>
      <c r="E5" s="291">
        <f>'محاسبه پایه حقوقی'!E26</f>
        <v>369359999.99999994</v>
      </c>
      <c r="F5" s="291">
        <f>'محاسبه پایه حقوقی'!F26</f>
        <v>369359999.99999994</v>
      </c>
      <c r="G5" s="291">
        <f>'محاسبه پایه حقوقی'!G26</f>
        <v>369359999.99999994</v>
      </c>
      <c r="H5" s="291">
        <f>'محاسبه پایه حقوقی'!H26</f>
        <v>369359999.99999994</v>
      </c>
      <c r="I5" s="291">
        <f>'محاسبه پایه حقوقی'!I26</f>
        <v>369359999.99999994</v>
      </c>
      <c r="J5" s="291">
        <f>'محاسبه پایه حقوقی'!J26</f>
        <v>381671999.99999994</v>
      </c>
      <c r="K5" s="291">
        <f>'محاسبه پایه حقوقی'!K26</f>
        <v>254447999.99999997</v>
      </c>
      <c r="L5" s="291">
        <f>'محاسبه پایه حقوقی'!L26</f>
        <v>254447999.99999997</v>
      </c>
      <c r="M5" s="291">
        <f>'محاسبه پایه حقوقی'!M26</f>
        <v>254447999.99999997</v>
      </c>
      <c r="N5" s="291">
        <f>'محاسبه پایه حقوقی'!N26</f>
        <v>254447999.99999997</v>
      </c>
      <c r="O5" s="291">
        <f>'محاسبه پایه حقوقی'!O26</f>
        <v>254447999.99999997</v>
      </c>
      <c r="P5" s="279" t="s">
        <v>306</v>
      </c>
    </row>
    <row r="6" spans="3:16" ht="27" thickBot="1">
      <c r="C6" s="291">
        <f t="shared" ref="C6:C14" si="0">SUM(D6:O6)</f>
        <v>942637499.99999988</v>
      </c>
      <c r="D6" s="291">
        <f>'محاسبه اضافه کاری'!B41+'محاسبه اضافه کاری'!B42</f>
        <v>134662499.99999997</v>
      </c>
      <c r="E6" s="291">
        <f>'محاسبه اضافه کاری'!C41+'محاسبه اضافه کاری'!C42</f>
        <v>80797499.999999985</v>
      </c>
      <c r="F6" s="291">
        <f>'محاسبه اضافه کاری'!D41+'محاسبه اضافه کاری'!D42</f>
        <v>80797499.999999985</v>
      </c>
      <c r="G6" s="291">
        <f>'محاسبه اضافه کاری'!E41+'محاسبه اضافه کاری'!E42</f>
        <v>80797499.999999985</v>
      </c>
      <c r="H6" s="291">
        <f>'محاسبه اضافه کاری'!F41+'محاسبه اضافه کاری'!F42</f>
        <v>80797499.999999985</v>
      </c>
      <c r="I6" s="291">
        <f>'محاسبه اضافه کاری'!G41+'محاسبه اضافه کاری'!G42</f>
        <v>134662499.99999997</v>
      </c>
      <c r="J6" s="291">
        <f>'محاسبه اضافه کاری'!H41+'محاسبه اضافه کاری'!H42</f>
        <v>80797499.999999985</v>
      </c>
      <c r="K6" s="291">
        <f>'محاسبه اضافه کاری'!I41+'محاسبه اضافه کاری'!I42</f>
        <v>53864999.999999985</v>
      </c>
      <c r="L6" s="291">
        <f>'محاسبه اضافه کاری'!J41+'محاسبه اضافه کاری'!J42</f>
        <v>53864999.999999985</v>
      </c>
      <c r="M6" s="291">
        <f>'محاسبه اضافه کاری'!K41+'محاسبه اضافه کاری'!K42</f>
        <v>53864999.999999985</v>
      </c>
      <c r="N6" s="291">
        <f>'محاسبه اضافه کاری'!L41+'محاسبه اضافه کاری'!L42</f>
        <v>53864999.999999985</v>
      </c>
      <c r="O6" s="291">
        <f>'محاسبه اضافه کاری'!M41+'محاسبه اضافه کاری'!M42</f>
        <v>53864999.999999985</v>
      </c>
      <c r="P6" s="279" t="s">
        <v>43</v>
      </c>
    </row>
    <row r="7" spans="3:16" ht="27" thickBot="1">
      <c r="C7" s="291">
        <f t="shared" si="0"/>
        <v>99200000</v>
      </c>
      <c r="D7" s="291">
        <f>'سایر مزایا '!$L7*'مراکز هزینه پرسنل'!D25</f>
        <v>9600000</v>
      </c>
      <c r="E7" s="291">
        <f>'سایر مزایا '!$L7*'مراکز هزینه پرسنل'!E25</f>
        <v>9600000</v>
      </c>
      <c r="F7" s="291">
        <f>'سایر مزایا '!$L7*'مراکز هزینه پرسنل'!F25</f>
        <v>9600000</v>
      </c>
      <c r="G7" s="291">
        <f>'سایر مزایا '!$L7*'مراکز هزینه پرسنل'!G25</f>
        <v>9600000</v>
      </c>
      <c r="H7" s="291">
        <f>'سایر مزایا '!$L7*'مراکز هزینه پرسنل'!H25</f>
        <v>9600000</v>
      </c>
      <c r="I7" s="291">
        <f>'سایر مزایا '!$L7*'مراکز هزینه پرسنل'!I25</f>
        <v>9600000</v>
      </c>
      <c r="J7" s="291">
        <f>'سایر مزایا '!$L7*'مراکز هزینه پرسنل'!J25</f>
        <v>9600000</v>
      </c>
      <c r="K7" s="291">
        <f>'سایر مزایا '!$L7*'مراکز هزینه پرسنل'!K25</f>
        <v>6400000</v>
      </c>
      <c r="L7" s="291">
        <f>'سایر مزایا '!$L7*'مراکز هزینه پرسنل'!L25</f>
        <v>6400000</v>
      </c>
      <c r="M7" s="291">
        <f>'سایر مزایا '!$L7*'مراکز هزینه پرسنل'!M25</f>
        <v>6400000</v>
      </c>
      <c r="N7" s="291">
        <f>'سایر مزایا '!$L7*'مراکز هزینه پرسنل'!N25</f>
        <v>6400000</v>
      </c>
      <c r="O7" s="291">
        <f>'سایر مزایا '!$L7*'مراکز هزینه پرسنل'!O25</f>
        <v>6400000</v>
      </c>
      <c r="P7" s="279" t="s">
        <v>44</v>
      </c>
    </row>
    <row r="8" spans="3:16" ht="27" thickBot="1">
      <c r="C8" s="291">
        <f t="shared" si="0"/>
        <v>272800000</v>
      </c>
      <c r="D8" s="291">
        <f>'سایر مزایا '!$L10*'مراکز هزینه پرسنل'!D25</f>
        <v>26400000</v>
      </c>
      <c r="E8" s="291">
        <f>'سایر مزایا '!$L10*'مراکز هزینه پرسنل'!E25</f>
        <v>26400000</v>
      </c>
      <c r="F8" s="291">
        <f>'سایر مزایا '!$L10*'مراکز هزینه پرسنل'!F25</f>
        <v>26400000</v>
      </c>
      <c r="G8" s="291">
        <f>'سایر مزایا '!$L10*'مراکز هزینه پرسنل'!G25</f>
        <v>26400000</v>
      </c>
      <c r="H8" s="291">
        <f>'سایر مزایا '!$L10*'مراکز هزینه پرسنل'!H25</f>
        <v>26400000</v>
      </c>
      <c r="I8" s="291">
        <f>'سایر مزایا '!$L10*'مراکز هزینه پرسنل'!I25</f>
        <v>26400000</v>
      </c>
      <c r="J8" s="291">
        <f>'سایر مزایا '!$L10*'مراکز هزینه پرسنل'!J25</f>
        <v>26400000</v>
      </c>
      <c r="K8" s="291">
        <f>'سایر مزایا '!$L10*'مراکز هزینه پرسنل'!K25</f>
        <v>17600000</v>
      </c>
      <c r="L8" s="291">
        <f>'سایر مزایا '!$L10*'مراکز هزینه پرسنل'!L25</f>
        <v>17600000</v>
      </c>
      <c r="M8" s="291">
        <f>'سایر مزایا '!$L10*'مراکز هزینه پرسنل'!M25</f>
        <v>17600000</v>
      </c>
      <c r="N8" s="291">
        <f>'سایر مزایا '!$L10*'مراکز هزینه پرسنل'!N25</f>
        <v>17600000</v>
      </c>
      <c r="O8" s="291">
        <f>'سایر مزایا '!$L10*'مراکز هزینه پرسنل'!O25</f>
        <v>17600000</v>
      </c>
      <c r="P8" s="279" t="s">
        <v>45</v>
      </c>
    </row>
    <row r="9" spans="3:16" ht="27" thickBot="1">
      <c r="C9" s="291">
        <f t="shared" si="0"/>
        <v>265216321.20000002</v>
      </c>
      <c r="D9" s="291">
        <f>'سایر مزایا '!$L8*'مراکز هزینه پرسنل'!D26</f>
        <v>25666095.599999998</v>
      </c>
      <c r="E9" s="291">
        <f>'سایر مزایا '!$L8*'مراکز هزینه پرسنل'!E26</f>
        <v>25666095.599999998</v>
      </c>
      <c r="F9" s="291">
        <f>'سایر مزایا '!$L8*'مراکز هزینه پرسنل'!F26</f>
        <v>25666095.599999998</v>
      </c>
      <c r="G9" s="291">
        <f>'سایر مزایا '!$L8*'مراکز هزینه پرسنل'!G26</f>
        <v>25666095.599999998</v>
      </c>
      <c r="H9" s="291">
        <f>'سایر مزایا '!$L8*'مراکز هزینه پرسنل'!H26</f>
        <v>25666095.599999998</v>
      </c>
      <c r="I9" s="291">
        <f>'سایر مزایا '!$L8*'مراکز هزینه پرسنل'!I26</f>
        <v>25666095.599999998</v>
      </c>
      <c r="J9" s="291">
        <f>'سایر مزایا '!$L8*'مراکز هزینه پرسنل'!J26</f>
        <v>25666095.599999998</v>
      </c>
      <c r="K9" s="291">
        <f>'سایر مزایا '!$L8*'مراکز هزینه پرسنل'!K26</f>
        <v>17110730.399999999</v>
      </c>
      <c r="L9" s="291">
        <f>'سایر مزایا '!$L8*'مراکز هزینه پرسنل'!L26</f>
        <v>17110730.399999999</v>
      </c>
      <c r="M9" s="291">
        <f>'سایر مزایا '!$L8*'مراکز هزینه پرسنل'!M26</f>
        <v>17110730.399999999</v>
      </c>
      <c r="N9" s="291">
        <f>'سایر مزایا '!$L8*'مراکز هزینه پرسنل'!N26</f>
        <v>17110730.399999999</v>
      </c>
      <c r="O9" s="291">
        <f>'سایر مزایا '!$L8*'مراکز هزینه پرسنل'!O26</f>
        <v>17110730.399999999</v>
      </c>
      <c r="P9" s="279" t="s">
        <v>46</v>
      </c>
    </row>
    <row r="10" spans="3:16" ht="27" thickBot="1">
      <c r="C10" s="291">
        <f t="shared" si="0"/>
        <v>1189651424.9999998</v>
      </c>
      <c r="D10" s="291">
        <f t="shared" ref="D10:N10" si="1">(D5+D6+D7+D8)*23%</f>
        <v>121373414.99999999</v>
      </c>
      <c r="E10" s="291">
        <f t="shared" si="1"/>
        <v>111816224.99999999</v>
      </c>
      <c r="F10" s="291">
        <f t="shared" si="1"/>
        <v>111816224.99999999</v>
      </c>
      <c r="G10" s="291">
        <f t="shared" si="1"/>
        <v>111816224.99999999</v>
      </c>
      <c r="H10" s="291">
        <f t="shared" si="1"/>
        <v>111816224.99999999</v>
      </c>
      <c r="I10" s="291">
        <f t="shared" si="1"/>
        <v>124205174.99999999</v>
      </c>
      <c r="J10" s="291">
        <f t="shared" si="1"/>
        <v>114647984.99999999</v>
      </c>
      <c r="K10" s="291">
        <f t="shared" si="1"/>
        <v>76431989.999999985</v>
      </c>
      <c r="L10" s="291">
        <f t="shared" si="1"/>
        <v>76431989.999999985</v>
      </c>
      <c r="M10" s="291">
        <f t="shared" si="1"/>
        <v>76431989.999999985</v>
      </c>
      <c r="N10" s="291">
        <f t="shared" si="1"/>
        <v>76431989.999999985</v>
      </c>
      <c r="O10" s="291">
        <f>(O5+O6+O7+O8)*23%</f>
        <v>76431989.999999985</v>
      </c>
      <c r="P10" s="279" t="s">
        <v>47</v>
      </c>
    </row>
    <row r="11" spans="3:16" ht="27" thickBot="1">
      <c r="C11" s="291">
        <f t="shared" si="0"/>
        <v>642959999.99999988</v>
      </c>
      <c r="D11" s="291">
        <f>IF(C1&gt;C2,C2*'مراکز هزینه پرسنل'!B7,C1*'مراکز هزینه پرسنل'!B25)</f>
        <v>642959999.99999988</v>
      </c>
      <c r="E11" s="291"/>
      <c r="F11" s="291"/>
      <c r="G11" s="291"/>
      <c r="H11" s="291"/>
      <c r="I11" s="291"/>
      <c r="J11" s="291"/>
      <c r="K11" s="291"/>
      <c r="L11" s="291"/>
      <c r="M11" s="291"/>
      <c r="N11" s="291"/>
      <c r="O11" s="291"/>
      <c r="P11" s="279" t="s">
        <v>48</v>
      </c>
    </row>
    <row r="12" spans="3:16" ht="27" thickBot="1">
      <c r="C12" s="291">
        <f t="shared" si="0"/>
        <v>0</v>
      </c>
      <c r="D12" s="278"/>
      <c r="E12" s="278"/>
      <c r="F12" s="278"/>
      <c r="G12" s="278"/>
      <c r="H12" s="278"/>
      <c r="I12" s="278"/>
      <c r="J12" s="278"/>
      <c r="K12" s="278"/>
      <c r="L12" s="278"/>
      <c r="M12" s="278"/>
      <c r="N12" s="278"/>
      <c r="O12" s="278"/>
      <c r="P12" s="279" t="s">
        <v>49</v>
      </c>
    </row>
    <row r="13" spans="3:16" ht="27" thickBot="1">
      <c r="C13" s="291">
        <f t="shared" si="0"/>
        <v>727022524.61999989</v>
      </c>
      <c r="D13" s="291">
        <f>(D5+D6+D7+D8+D9+D10+D11+D12)*'سایر مزایا '!$L20</f>
        <v>131771001.06</v>
      </c>
      <c r="E13" s="291">
        <f>(E5+E6+E7+E8+E9+E10+E11+E12)*'سایر مزایا '!$L20</f>
        <v>62363982.059999995</v>
      </c>
      <c r="F13" s="291">
        <f>(F5+F6+F7+F8+F9+F10+F11+F12)*'سایر مزایا '!$L20</f>
        <v>62363982.059999995</v>
      </c>
      <c r="G13" s="291">
        <f>(G5+G6+G7+G8+G9+G10+G11+G12)*'سایر مزایا '!$L20</f>
        <v>62363982.059999995</v>
      </c>
      <c r="H13" s="291">
        <f>(H5+H6+H7+H8+H9+H10+H11+H12)*'سایر مزایا '!$L20</f>
        <v>62363982.059999995</v>
      </c>
      <c r="I13" s="291">
        <f>(I5+I6+I7+I8+I9+I10+I11+I12)*'سایر مزایا '!$L20</f>
        <v>68989377.059999987</v>
      </c>
      <c r="J13" s="291">
        <f>(J5+J6+J7+J8+J9+J10+J11+J12)*'سایر مزایا '!$L20</f>
        <v>63878358.059999995</v>
      </c>
      <c r="K13" s="291">
        <f>(K5+K6+K7+K8+K9+K10+K11+K12)*'سایر مزایا '!$L20</f>
        <v>42585572.039999992</v>
      </c>
      <c r="L13" s="291">
        <f>(L5+L6+L7+L8+L9+L10+L11+L12)*'سایر مزایا '!$L20</f>
        <v>42585572.039999992</v>
      </c>
      <c r="M13" s="291">
        <f>(M5+M6+M7+M8+M9+M10+M11+M12)*'سایر مزایا '!$L20</f>
        <v>42585572.039999992</v>
      </c>
      <c r="N13" s="291">
        <f>(N5+N6+N7+N8+N9+N10+N11+N12)*'سایر مزایا '!$L20</f>
        <v>42585572.039999992</v>
      </c>
      <c r="O13" s="291">
        <f>(O5+O6+O7+O8+O9+O10+O11+O12)*'سایر مزایا '!$L20</f>
        <v>42585572.039999992</v>
      </c>
      <c r="P13" s="279" t="s">
        <v>542</v>
      </c>
    </row>
    <row r="14" spans="3:16" ht="27" thickBot="1">
      <c r="C14" s="291">
        <f t="shared" si="0"/>
        <v>443231999.99999994</v>
      </c>
      <c r="D14" s="278">
        <f>E5*'سایر مزایا '!L23</f>
        <v>443231999.99999994</v>
      </c>
      <c r="E14" s="291"/>
      <c r="F14" s="291"/>
      <c r="G14" s="291"/>
      <c r="H14" s="291"/>
      <c r="I14" s="291"/>
      <c r="J14" s="291"/>
      <c r="K14" s="291"/>
      <c r="L14" s="291"/>
      <c r="M14" s="291"/>
      <c r="N14" s="291"/>
      <c r="O14" s="291"/>
      <c r="P14" s="279" t="s">
        <v>50</v>
      </c>
    </row>
    <row r="15" spans="3:16" ht="36.75" customHeight="1" thickBot="1">
      <c r="C15" s="281">
        <f t="shared" ref="C15:N15" si="2">SUM(C5:C14)</f>
        <v>8440479770.8199987</v>
      </c>
      <c r="D15" s="281">
        <f t="shared" si="2"/>
        <v>1892713011.6599998</v>
      </c>
      <c r="E15" s="281">
        <f t="shared" si="2"/>
        <v>686003802.65999985</v>
      </c>
      <c r="F15" s="281">
        <f t="shared" si="2"/>
        <v>686003802.65999985</v>
      </c>
      <c r="G15" s="281">
        <f t="shared" si="2"/>
        <v>686003802.65999985</v>
      </c>
      <c r="H15" s="281">
        <f t="shared" si="2"/>
        <v>686003802.65999985</v>
      </c>
      <c r="I15" s="281">
        <f t="shared" si="2"/>
        <v>758883147.65999985</v>
      </c>
      <c r="J15" s="281">
        <f t="shared" si="2"/>
        <v>702661938.65999985</v>
      </c>
      <c r="K15" s="281">
        <f t="shared" si="2"/>
        <v>468441292.43999994</v>
      </c>
      <c r="L15" s="281">
        <f t="shared" si="2"/>
        <v>468441292.43999994</v>
      </c>
      <c r="M15" s="281">
        <f t="shared" si="2"/>
        <v>468441292.43999994</v>
      </c>
      <c r="N15" s="281">
        <f t="shared" si="2"/>
        <v>468441292.43999994</v>
      </c>
      <c r="O15" s="281">
        <f>SUM(O5:O14)</f>
        <v>468441292.43999994</v>
      </c>
      <c r="P15" s="281" t="s">
        <v>307</v>
      </c>
    </row>
    <row r="16" spans="3:16" ht="35.25" customHeight="1" thickBot="1">
      <c r="C16" s="282">
        <f>IF('سایر مزایا '!$L19=1,C15,C15-C14)</f>
        <v>7997247770.8199987</v>
      </c>
      <c r="D16" s="282">
        <f>IF('سایر مزایا '!$L19=1,D15,D15-D14)</f>
        <v>1449481011.6599998</v>
      </c>
      <c r="E16" s="282">
        <f>IF('سایر مزایا '!$L19=1,E15,E15-E14)</f>
        <v>686003802.65999985</v>
      </c>
      <c r="F16" s="282">
        <f>IF('سایر مزایا '!$L19=1,F15,F15-F14)</f>
        <v>686003802.65999985</v>
      </c>
      <c r="G16" s="282">
        <f>IF('سایر مزایا '!$L19=1,G15,G15-G14)</f>
        <v>686003802.65999985</v>
      </c>
      <c r="H16" s="282">
        <f>IF('سایر مزایا '!$L19=1,H15,H15-H14)</f>
        <v>686003802.65999985</v>
      </c>
      <c r="I16" s="282">
        <f>IF('سایر مزایا '!$L19=1,I15,I15-I14)</f>
        <v>758883147.65999985</v>
      </c>
      <c r="J16" s="282">
        <f>IF('سایر مزایا '!$L19=1,J15,J15-J14)</f>
        <v>702661938.65999985</v>
      </c>
      <c r="K16" s="282">
        <f>IF('سایر مزایا '!$L19=1,K15,K15-K14)</f>
        <v>468441292.43999994</v>
      </c>
      <c r="L16" s="282">
        <f>IF('سایر مزایا '!$L19=1,L15,L15-L14)</f>
        <v>468441292.43999994</v>
      </c>
      <c r="M16" s="282">
        <f>IF('سایر مزایا '!$L19=1,M15,M15-M14)</f>
        <v>468441292.43999994</v>
      </c>
      <c r="N16" s="282">
        <f>IF('سایر مزایا '!$L19=1,N15,N15-N14)</f>
        <v>468441292.43999994</v>
      </c>
      <c r="O16" s="282">
        <f>IF('سایر مزایا '!$L19=1,O15,O15-O14)</f>
        <v>468441292.43999994</v>
      </c>
      <c r="P16" s="282" t="s">
        <v>60</v>
      </c>
    </row>
    <row r="17" spans="3:16" ht="35.25" customHeight="1" thickBot="1">
      <c r="C17" s="265"/>
      <c r="D17" s="265"/>
      <c r="E17" s="265"/>
      <c r="F17" s="265"/>
      <c r="G17" s="265"/>
      <c r="H17" s="265"/>
      <c r="I17" s="265"/>
      <c r="J17" s="265"/>
      <c r="K17" s="265"/>
      <c r="L17" s="265"/>
      <c r="M17" s="265"/>
      <c r="N17" s="265"/>
      <c r="O17" s="265"/>
      <c r="P17" s="265"/>
    </row>
    <row r="18" spans="3:16" ht="27" thickBot="1">
      <c r="C18" s="277" t="s">
        <v>42</v>
      </c>
      <c r="D18" s="277" t="s">
        <v>41</v>
      </c>
      <c r="E18" s="277" t="s">
        <v>10</v>
      </c>
      <c r="F18" s="277" t="s">
        <v>9</v>
      </c>
      <c r="G18" s="277" t="s">
        <v>8</v>
      </c>
      <c r="H18" s="277" t="s">
        <v>40</v>
      </c>
      <c r="I18" s="277" t="s">
        <v>6</v>
      </c>
      <c r="J18" s="277" t="s">
        <v>5</v>
      </c>
      <c r="K18" s="277" t="s">
        <v>4</v>
      </c>
      <c r="L18" s="277" t="s">
        <v>3</v>
      </c>
      <c r="M18" s="277" t="s">
        <v>2</v>
      </c>
      <c r="N18" s="277" t="s">
        <v>1</v>
      </c>
      <c r="O18" s="277" t="s">
        <v>39</v>
      </c>
      <c r="P18" s="288" t="s">
        <v>238</v>
      </c>
    </row>
    <row r="19" spans="3:16" ht="27" thickBot="1">
      <c r="C19" s="289">
        <f>SUM(D19:O19)</f>
        <v>291280654.86199486</v>
      </c>
      <c r="D19" s="289">
        <f>'جدول دارایی های ثابت مشهود '!Y20/12</f>
        <v>24273387.905166239</v>
      </c>
      <c r="E19" s="289">
        <f>D19</f>
        <v>24273387.905166239</v>
      </c>
      <c r="F19" s="289">
        <f t="shared" ref="F19:O19" si="3">E19</f>
        <v>24273387.905166239</v>
      </c>
      <c r="G19" s="289">
        <f t="shared" si="3"/>
        <v>24273387.905166239</v>
      </c>
      <c r="H19" s="289">
        <f t="shared" si="3"/>
        <v>24273387.905166239</v>
      </c>
      <c r="I19" s="289">
        <f t="shared" si="3"/>
        <v>24273387.905166239</v>
      </c>
      <c r="J19" s="289">
        <f t="shared" si="3"/>
        <v>24273387.905166239</v>
      </c>
      <c r="K19" s="289">
        <f t="shared" si="3"/>
        <v>24273387.905166239</v>
      </c>
      <c r="L19" s="289">
        <f t="shared" si="3"/>
        <v>24273387.905166239</v>
      </c>
      <c r="M19" s="289">
        <f t="shared" si="3"/>
        <v>24273387.905166239</v>
      </c>
      <c r="N19" s="289">
        <f t="shared" si="3"/>
        <v>24273387.905166239</v>
      </c>
      <c r="O19" s="289">
        <f t="shared" si="3"/>
        <v>24273387.905166239</v>
      </c>
      <c r="P19" s="279" t="s">
        <v>52</v>
      </c>
    </row>
    <row r="20" spans="3:16" ht="27" thickBot="1">
      <c r="C20" s="289">
        <f t="shared" ref="C20:C29" si="4">SUM(D20:O20)</f>
        <v>0</v>
      </c>
      <c r="D20" s="280"/>
      <c r="E20" s="280"/>
      <c r="F20" s="280"/>
      <c r="G20" s="280"/>
      <c r="H20" s="280"/>
      <c r="I20" s="280"/>
      <c r="J20" s="280"/>
      <c r="K20" s="280"/>
      <c r="L20" s="280"/>
      <c r="M20" s="280"/>
      <c r="N20" s="280"/>
      <c r="O20" s="280"/>
      <c r="P20" s="279" t="s">
        <v>53</v>
      </c>
    </row>
    <row r="21" spans="3:16" ht="27" thickBot="1">
      <c r="C21" s="289">
        <f t="shared" si="4"/>
        <v>0</v>
      </c>
      <c r="D21" s="280"/>
      <c r="E21" s="280"/>
      <c r="F21" s="280"/>
      <c r="G21" s="280"/>
      <c r="H21" s="280"/>
      <c r="I21" s="280"/>
      <c r="J21" s="280"/>
      <c r="K21" s="280"/>
      <c r="L21" s="280"/>
      <c r="M21" s="280"/>
      <c r="N21" s="280"/>
      <c r="O21" s="280"/>
      <c r="P21" s="279" t="s">
        <v>54</v>
      </c>
    </row>
    <row r="22" spans="3:16" ht="27" thickBot="1">
      <c r="C22" s="289">
        <f t="shared" si="4"/>
        <v>0</v>
      </c>
      <c r="D22" s="280"/>
      <c r="E22" s="280"/>
      <c r="F22" s="280"/>
      <c r="G22" s="280"/>
      <c r="H22" s="280"/>
      <c r="I22" s="280"/>
      <c r="J22" s="280"/>
      <c r="K22" s="280"/>
      <c r="L22" s="280"/>
      <c r="M22" s="280"/>
      <c r="N22" s="280"/>
      <c r="O22" s="280"/>
      <c r="P22" s="279" t="s">
        <v>71</v>
      </c>
    </row>
    <row r="23" spans="3:16" ht="27" thickBot="1">
      <c r="C23" s="289">
        <f t="shared" si="4"/>
        <v>0</v>
      </c>
      <c r="D23" s="280"/>
      <c r="E23" s="280"/>
      <c r="F23" s="280"/>
      <c r="G23" s="280"/>
      <c r="H23" s="280"/>
      <c r="I23" s="280"/>
      <c r="J23" s="280"/>
      <c r="K23" s="280"/>
      <c r="L23" s="280"/>
      <c r="M23" s="280"/>
      <c r="N23" s="280"/>
      <c r="O23" s="280"/>
      <c r="P23" s="279" t="s">
        <v>56</v>
      </c>
    </row>
    <row r="24" spans="3:16" ht="27" thickBot="1">
      <c r="C24" s="289">
        <f t="shared" si="4"/>
        <v>0</v>
      </c>
      <c r="D24" s="280"/>
      <c r="E24" s="280"/>
      <c r="F24" s="280"/>
      <c r="G24" s="280"/>
      <c r="H24" s="280"/>
      <c r="I24" s="280"/>
      <c r="J24" s="280"/>
      <c r="K24" s="280"/>
      <c r="L24" s="280"/>
      <c r="M24" s="280"/>
      <c r="N24" s="280"/>
      <c r="O24" s="280"/>
      <c r="P24" s="279" t="s">
        <v>58</v>
      </c>
    </row>
    <row r="25" spans="3:16" ht="27" thickBot="1">
      <c r="C25" s="289">
        <f t="shared" si="4"/>
        <v>0</v>
      </c>
      <c r="D25" s="280"/>
      <c r="E25" s="280"/>
      <c r="F25" s="280"/>
      <c r="G25" s="280"/>
      <c r="H25" s="280"/>
      <c r="I25" s="280"/>
      <c r="J25" s="280"/>
      <c r="K25" s="280"/>
      <c r="L25" s="280"/>
      <c r="M25" s="280"/>
      <c r="N25" s="280"/>
      <c r="O25" s="280"/>
      <c r="P25" s="279" t="s">
        <v>59</v>
      </c>
    </row>
    <row r="26" spans="3:16" ht="27" thickBot="1">
      <c r="C26" s="289">
        <f t="shared" si="4"/>
        <v>23850630000</v>
      </c>
      <c r="D26" s="390">
        <f>'فروش محصولات '!E26*15%</f>
        <v>2419830000</v>
      </c>
      <c r="E26" s="390">
        <f>'فروش محصولات '!F26*15%</f>
        <v>2833950000</v>
      </c>
      <c r="F26" s="390">
        <f>'فروش محصولات '!G26*15%</f>
        <v>2599950000</v>
      </c>
      <c r="G26" s="390">
        <f>'فروش محصولات '!H26*15%</f>
        <v>2412750000</v>
      </c>
      <c r="H26" s="390">
        <f>'فروش محصولات '!I26*15%</f>
        <v>2316240000</v>
      </c>
      <c r="I26" s="390">
        <f>'فروش محصولات '!J26*15%</f>
        <v>1886310000</v>
      </c>
      <c r="J26" s="390">
        <f>'فروش محصولات '!K26*15%</f>
        <v>1689120000</v>
      </c>
      <c r="K26" s="390">
        <f>'فروش محصولات '!L26*15%</f>
        <v>1602600000</v>
      </c>
      <c r="L26" s="390">
        <f>'فروش محصولات '!M26*15%</f>
        <v>1602600000</v>
      </c>
      <c r="M26" s="390">
        <f>'فروش محصولات '!N26*15%</f>
        <v>1602600000</v>
      </c>
      <c r="N26" s="390">
        <f>'فروش محصولات '!O26*15%</f>
        <v>1602600000</v>
      </c>
      <c r="O26" s="280">
        <f>'فروش محصولات '!P26*15%</f>
        <v>1282080000</v>
      </c>
      <c r="P26" s="279" t="s">
        <v>72</v>
      </c>
    </row>
    <row r="27" spans="3:16" ht="27" thickBot="1">
      <c r="C27" s="289">
        <f t="shared" si="4"/>
        <v>0</v>
      </c>
      <c r="D27" s="280"/>
      <c r="E27" s="280"/>
      <c r="F27" s="280"/>
      <c r="G27" s="280"/>
      <c r="H27" s="280"/>
      <c r="I27" s="280"/>
      <c r="J27" s="280"/>
      <c r="K27" s="280"/>
      <c r="L27" s="280"/>
      <c r="M27" s="280"/>
      <c r="N27" s="280"/>
      <c r="O27" s="280"/>
      <c r="P27" s="279" t="s">
        <v>75</v>
      </c>
    </row>
    <row r="28" spans="3:16" ht="27" thickBot="1">
      <c r="C28" s="289">
        <f t="shared" si="4"/>
        <v>478624619.75984371</v>
      </c>
      <c r="D28" s="280">
        <f>('گردش قیمت تمام شده - محصولات'!$G5*'گردش توليد و مواد ( A)'!E11)+('گردش قیمت تمام شده - محصولات'!$G6*'گردش توليد و مواد B'!E11)+('گردش توليد و مواد C'!E11*'گردش قیمت تمام شده - محصولات'!$G7)</f>
        <v>50310478.062890835</v>
      </c>
      <c r="E28" s="280">
        <f>('گردش قیمت تمام شده - محصولات'!$G5*'گردش توليد و مواد ( A)'!F11)+('گردش قیمت تمام شده - محصولات'!$G6*'گردش توليد و مواد B'!F11)+('گردش توليد و مواد C'!F11*'گردش قیمت تمام شده - محصولات'!$G7)</f>
        <v>50310478.062890835</v>
      </c>
      <c r="F28" s="280">
        <f>('گردش قیمت تمام شده - محصولات'!$G5*'گردش توليد و مواد ( A)'!G11)+('گردش قیمت تمام شده - محصولات'!$G6*'گردش توليد و مواد B'!G11)+('گردش توليد و مواد C'!G11*'گردش قیمت تمام شده - محصولات'!$G7)</f>
        <v>47540454.398744337</v>
      </c>
      <c r="G28" s="280">
        <f>('گردش قیمت تمام شده - محصولات'!$G5*'گردش توليد و مواد ( A)'!H11)+('گردش قیمت تمام شده - محصولات'!$G6*'گردش توليد و مواد B'!H11)+('گردش توليد و مواد C'!H11*'گردش قیمت تمام شده - محصولات'!$G7)</f>
        <v>44770430.734597832</v>
      </c>
      <c r="H28" s="280">
        <f>('گردش قیمت تمام شده - محصولات'!$G5*'گردش توليد و مواد ( A)'!I11)+('گردش قیمت تمام شده - محصولات'!$G6*'گردش توليد و مواد B'!I11)+('گردش توليد و مواد C'!I11*'گردش قیمت تمام شده - محصولات'!$G7)</f>
        <v>44770430.734597832</v>
      </c>
      <c r="I28" s="280">
        <f>('گردش قیمت تمام شده - محصولات'!$G5*'گردش توليد و مواد ( A)'!J11)+('گردش قیمت تمام شده - محصولات'!$G6*'گردش توليد و مواد B'!J11)+('گردش توليد و مواد C'!J11*'گردش قیمت تمام شده - محصولات'!$G7)</f>
        <v>44770430.734597832</v>
      </c>
      <c r="J28" s="280">
        <f>('گردش قیمت تمام شده - محصولات'!$G5*'گردش توليد و مواد ( A)'!K11)+('گردش قیمت تمام شده - محصولات'!$G6*'گردش توليد و مواد B'!K11)+('گردش توليد و مواد C'!K11*'گردش قیمت تمام شده - محصولات'!$G7)</f>
        <v>36460359.742158331</v>
      </c>
      <c r="K28" s="280">
        <f>('گردش قیمت تمام شده - محصولات'!$G5*'گردش توليد و مواد ( A)'!L11)+('گردش قیمت تمام شده - محصولات'!$G6*'گردش توليد و مواد B'!L11)+('گردش توليد و مواد C'!L11*'گردش قیمت تمام شده - محصولات'!$G7)</f>
        <v>31938311.457873166</v>
      </c>
      <c r="L28" s="280">
        <f>('گردش قیمت تمام شده - محصولات'!$G5*'گردش توليد و مواد ( A)'!M11)+('گردش قیمت تمام شده - محصولات'!$G6*'گردش توليد و مواد B'!M11)+('گردش توليد و مواد C'!M11*'گردش قیمت تمام شده - محصولات'!$G7)</f>
        <v>31938311.457873166</v>
      </c>
      <c r="M28" s="280">
        <f>('گردش قیمت تمام شده - محصولات'!$G5*'گردش توليد و مواد ( A)'!N11)+('گردش قیمت تمام شده - محصولات'!$G6*'گردش توليد و مواد B'!N11)+('گردش توليد و مواد C'!N11*'گردش قیمت تمام شده - محصولات'!$G7)</f>
        <v>31938311.457873166</v>
      </c>
      <c r="N28" s="280">
        <f>('گردش قیمت تمام شده - محصولات'!$G5*'گردش توليد و مواد ( A)'!O11)+('گردش قیمت تمام شده - محصولات'!$G6*'گردش توليد و مواد B'!O11)+('گردش توليد و مواد C'!O11*'گردش قیمت تمام شده - محصولات'!$G7)</f>
        <v>31938311.457873166</v>
      </c>
      <c r="O28" s="280">
        <f>('گردش قیمت تمام شده - محصولات'!$G5*'گردش توليد و مواد ( A)'!P11)+('گردش قیمت تمام شده - محصولات'!$G6*'گردش توليد و مواد B'!P11)+('گردش توليد و مواد C'!P11*'گردش قیمت تمام شده - محصولات'!$G7)</f>
        <v>31938311.457873166</v>
      </c>
      <c r="P28" s="279" t="s">
        <v>73</v>
      </c>
    </row>
    <row r="29" spans="3:16" ht="27" thickBot="1">
      <c r="C29" s="289">
        <f t="shared" si="4"/>
        <v>1300000000</v>
      </c>
      <c r="D29" s="280"/>
      <c r="E29" s="280">
        <v>800000000</v>
      </c>
      <c r="F29" s="280"/>
      <c r="G29" s="280"/>
      <c r="H29" s="280"/>
      <c r="I29" s="280"/>
      <c r="J29" s="280"/>
      <c r="K29" s="280"/>
      <c r="L29" s="280"/>
      <c r="M29" s="280"/>
      <c r="N29" s="280">
        <f>500000000</f>
        <v>500000000</v>
      </c>
      <c r="O29" s="280"/>
      <c r="P29" s="279" t="s">
        <v>74</v>
      </c>
    </row>
    <row r="30" spans="3:16" ht="39.75" customHeight="1" thickBot="1">
      <c r="C30" s="281">
        <f t="shared" ref="C30:N30" si="5">SUM(C19:C29)</f>
        <v>25920535274.621838</v>
      </c>
      <c r="D30" s="281">
        <f t="shared" si="5"/>
        <v>2494413865.9680572</v>
      </c>
      <c r="E30" s="281">
        <f t="shared" si="5"/>
        <v>3708533865.9680572</v>
      </c>
      <c r="F30" s="281">
        <f t="shared" si="5"/>
        <v>2671763842.3039103</v>
      </c>
      <c r="G30" s="281">
        <f t="shared" si="5"/>
        <v>2481793818.6397638</v>
      </c>
      <c r="H30" s="281">
        <f t="shared" si="5"/>
        <v>2385283818.6397638</v>
      </c>
      <c r="I30" s="281">
        <f t="shared" si="5"/>
        <v>1955353818.6397641</v>
      </c>
      <c r="J30" s="281">
        <f t="shared" si="5"/>
        <v>1749853747.6473246</v>
      </c>
      <c r="K30" s="281">
        <f t="shared" si="5"/>
        <v>1658811699.3630393</v>
      </c>
      <c r="L30" s="281">
        <f t="shared" si="5"/>
        <v>1658811699.3630393</v>
      </c>
      <c r="M30" s="281">
        <f t="shared" si="5"/>
        <v>1658811699.3630393</v>
      </c>
      <c r="N30" s="281">
        <f t="shared" si="5"/>
        <v>2158811699.363039</v>
      </c>
      <c r="O30" s="281">
        <f>SUM(O19:O29)</f>
        <v>1338291699.3630393</v>
      </c>
      <c r="P30" s="281" t="s">
        <v>76</v>
      </c>
    </row>
    <row r="31" spans="3:16" ht="36.75" customHeight="1" thickBot="1">
      <c r="C31" s="282">
        <f t="shared" ref="C31:N31" si="6">C30-C19-C28</f>
        <v>25150630000</v>
      </c>
      <c r="D31" s="282">
        <f t="shared" si="6"/>
        <v>2419830000</v>
      </c>
      <c r="E31" s="282">
        <f t="shared" si="6"/>
        <v>3633950000</v>
      </c>
      <c r="F31" s="282">
        <f t="shared" si="6"/>
        <v>2599950000</v>
      </c>
      <c r="G31" s="282">
        <f t="shared" si="6"/>
        <v>2412750000</v>
      </c>
      <c r="H31" s="282">
        <f t="shared" si="6"/>
        <v>2316240000</v>
      </c>
      <c r="I31" s="282">
        <f t="shared" si="6"/>
        <v>1886310000</v>
      </c>
      <c r="J31" s="282">
        <f t="shared" si="6"/>
        <v>1689120000</v>
      </c>
      <c r="K31" s="282">
        <f t="shared" si="6"/>
        <v>1602600000</v>
      </c>
      <c r="L31" s="282">
        <f t="shared" si="6"/>
        <v>1602600000</v>
      </c>
      <c r="M31" s="282">
        <f t="shared" si="6"/>
        <v>1602600000</v>
      </c>
      <c r="N31" s="282">
        <f t="shared" si="6"/>
        <v>2102599999.9999998</v>
      </c>
      <c r="O31" s="282">
        <f>O30-O19-O28</f>
        <v>1282080000</v>
      </c>
      <c r="P31" s="282" t="s">
        <v>63</v>
      </c>
    </row>
    <row r="32" spans="3:16" ht="27" thickBot="1"/>
    <row r="33" spans="3:16" ht="32.25" customHeight="1" thickBot="1">
      <c r="C33" s="284">
        <f t="shared" ref="C33:N33" si="7">C30+C15</f>
        <v>34361015045.441833</v>
      </c>
      <c r="D33" s="284">
        <f t="shared" si="7"/>
        <v>4387126877.6280575</v>
      </c>
      <c r="E33" s="284">
        <f t="shared" si="7"/>
        <v>4394537668.6280575</v>
      </c>
      <c r="F33" s="284">
        <f t="shared" si="7"/>
        <v>3357767644.9639101</v>
      </c>
      <c r="G33" s="284">
        <f t="shared" si="7"/>
        <v>3167797621.2997637</v>
      </c>
      <c r="H33" s="284">
        <f t="shared" si="7"/>
        <v>3071287621.2997637</v>
      </c>
      <c r="I33" s="284">
        <f t="shared" si="7"/>
        <v>2714236966.2997637</v>
      </c>
      <c r="J33" s="284">
        <f t="shared" si="7"/>
        <v>2452515686.3073244</v>
      </c>
      <c r="K33" s="284">
        <f t="shared" si="7"/>
        <v>2127252991.8030391</v>
      </c>
      <c r="L33" s="284">
        <f t="shared" si="7"/>
        <v>2127252991.8030391</v>
      </c>
      <c r="M33" s="284">
        <f t="shared" si="7"/>
        <v>2127252991.8030391</v>
      </c>
      <c r="N33" s="284">
        <f t="shared" si="7"/>
        <v>2627252991.8030391</v>
      </c>
      <c r="O33" s="284">
        <f>O30+O15</f>
        <v>1806732991.8030391</v>
      </c>
      <c r="P33" s="284" t="s">
        <v>77</v>
      </c>
    </row>
    <row r="34" spans="3:16" ht="36.75" customHeight="1" thickTop="1" thickBot="1">
      <c r="C34" s="285">
        <f t="shared" ref="C34:N34" si="8">C31+C16</f>
        <v>33147877770.82</v>
      </c>
      <c r="D34" s="285">
        <f t="shared" si="8"/>
        <v>3869311011.6599998</v>
      </c>
      <c r="E34" s="285">
        <f t="shared" si="8"/>
        <v>4319953802.6599998</v>
      </c>
      <c r="F34" s="285">
        <f t="shared" si="8"/>
        <v>3285953802.6599998</v>
      </c>
      <c r="G34" s="285">
        <f t="shared" si="8"/>
        <v>3098753802.6599998</v>
      </c>
      <c r="H34" s="285">
        <f t="shared" si="8"/>
        <v>3002243802.6599998</v>
      </c>
      <c r="I34" s="285">
        <f t="shared" si="8"/>
        <v>2645193147.6599998</v>
      </c>
      <c r="J34" s="285">
        <f t="shared" si="8"/>
        <v>2391781938.6599998</v>
      </c>
      <c r="K34" s="285">
        <f t="shared" si="8"/>
        <v>2071041292.4400001</v>
      </c>
      <c r="L34" s="285">
        <f t="shared" si="8"/>
        <v>2071041292.4400001</v>
      </c>
      <c r="M34" s="285">
        <f t="shared" si="8"/>
        <v>2071041292.4400001</v>
      </c>
      <c r="N34" s="285">
        <f t="shared" si="8"/>
        <v>2571041292.4399996</v>
      </c>
      <c r="O34" s="285">
        <f>O31+O16</f>
        <v>1750521292.4400001</v>
      </c>
      <c r="P34" s="286" t="s">
        <v>65</v>
      </c>
    </row>
    <row r="35" spans="3:16" ht="27" thickTop="1"/>
  </sheetData>
  <mergeCells count="1">
    <mergeCell ref="F2:P2"/>
  </mergeCells>
  <hyperlinks>
    <hyperlink ref="P1" r:id="rId1" location="'فهرست مطالب'!A1"/>
  </hyperlinks>
  <pageMargins left="0.7" right="0.7" top="0.75" bottom="0.75" header="0.3" footer="0.3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I1:AF21"/>
  <sheetViews>
    <sheetView topLeftCell="R1" zoomScale="80" zoomScaleNormal="80" workbookViewId="0">
      <selection activeCell="R17" sqref="R17"/>
    </sheetView>
  </sheetViews>
  <sheetFormatPr defaultColWidth="9.140625" defaultRowHeight="28.5"/>
  <cols>
    <col min="1" max="6" width="9.140625" style="558"/>
    <col min="7" max="7" width="0.42578125" style="558" customWidth="1"/>
    <col min="8" max="8" width="9.28515625" style="558" customWidth="1"/>
    <col min="9" max="10" width="29.140625" style="558" bestFit="1" customWidth="1"/>
    <col min="11" max="11" width="7.5703125" style="558" customWidth="1"/>
    <col min="12" max="12" width="29.140625" style="558" bestFit="1" customWidth="1"/>
    <col min="13" max="13" width="9.7109375" style="558" bestFit="1" customWidth="1"/>
    <col min="14" max="15" width="26.7109375" style="558" bestFit="1" customWidth="1"/>
    <col min="16" max="16" width="4.42578125" style="558" customWidth="1"/>
    <col min="17" max="17" width="29.140625" style="558" bestFit="1" customWidth="1"/>
    <col min="18" max="18" width="28.140625" style="558" bestFit="1" customWidth="1"/>
    <col min="19" max="19" width="9.7109375" style="558" bestFit="1" customWidth="1"/>
    <col min="20" max="21" width="29.140625" style="558" bestFit="1" customWidth="1"/>
    <col min="22" max="22" width="60.28515625" style="558" bestFit="1" customWidth="1"/>
    <col min="23" max="23" width="9" style="558" customWidth="1"/>
    <col min="24" max="24" width="26.7109375" style="558" bestFit="1" customWidth="1"/>
    <col min="25" max="25" width="19.7109375" style="558" bestFit="1" customWidth="1"/>
    <col min="26" max="26" width="30.140625" style="558" bestFit="1" customWidth="1"/>
    <col min="27" max="27" width="30.42578125" style="558" bestFit="1" customWidth="1"/>
    <col min="28" max="28" width="44.7109375" style="558" bestFit="1" customWidth="1"/>
    <col min="29" max="29" width="8.5703125" style="559" customWidth="1"/>
    <col min="30" max="30" width="7" style="558" bestFit="1" customWidth="1"/>
    <col min="31" max="31" width="22.42578125" style="558" bestFit="1" customWidth="1"/>
    <col min="32" max="32" width="44.7109375" style="558" bestFit="1" customWidth="1"/>
    <col min="33" max="16384" width="9.140625" style="558"/>
  </cols>
  <sheetData>
    <row r="1" spans="9:32" ht="29.25" thickBot="1"/>
    <row r="2" spans="9:32" ht="30" thickTop="1" thickBot="1">
      <c r="I2" s="645" t="s">
        <v>325</v>
      </c>
      <c r="J2" s="646"/>
      <c r="K2" s="591"/>
      <c r="L2" s="645" t="s">
        <v>90</v>
      </c>
      <c r="M2" s="655"/>
      <c r="N2" s="655"/>
      <c r="O2" s="655"/>
      <c r="P2" s="591"/>
      <c r="Q2" s="645" t="s">
        <v>89</v>
      </c>
      <c r="R2" s="655"/>
      <c r="S2" s="655"/>
      <c r="T2" s="655"/>
      <c r="U2" s="646"/>
      <c r="V2" s="642" t="s">
        <v>573</v>
      </c>
      <c r="X2" s="640" t="s">
        <v>820</v>
      </c>
      <c r="Y2" s="640"/>
      <c r="Z2" s="640"/>
      <c r="AA2" s="640"/>
      <c r="AB2" s="641"/>
    </row>
    <row r="3" spans="9:32" ht="30" thickTop="1" thickBot="1">
      <c r="I3" s="648" t="str">
        <f>Q3</f>
        <v>97/12/29</v>
      </c>
      <c r="J3" s="647" t="str">
        <f>U3</f>
        <v>97/1/1</v>
      </c>
      <c r="K3" s="591"/>
      <c r="L3" s="654" t="str">
        <f>Q3</f>
        <v>97/12/29</v>
      </c>
      <c r="M3" s="650" t="s">
        <v>289</v>
      </c>
      <c r="N3" s="650" t="s">
        <v>288</v>
      </c>
      <c r="O3" s="651" t="str">
        <f>U3</f>
        <v>97/1/1</v>
      </c>
      <c r="P3" s="592"/>
      <c r="Q3" s="652" t="s">
        <v>733</v>
      </c>
      <c r="R3" s="656" t="s">
        <v>312</v>
      </c>
      <c r="S3" s="649" t="s">
        <v>289</v>
      </c>
      <c r="T3" s="649" t="s">
        <v>288</v>
      </c>
      <c r="U3" s="652" t="s">
        <v>732</v>
      </c>
      <c r="V3" s="643"/>
      <c r="X3" s="640"/>
      <c r="Y3" s="640"/>
      <c r="Z3" s="640"/>
      <c r="AA3" s="640"/>
      <c r="AB3" s="641"/>
    </row>
    <row r="4" spans="9:32" ht="30" thickTop="1" thickBot="1">
      <c r="I4" s="648"/>
      <c r="J4" s="647"/>
      <c r="K4" s="591"/>
      <c r="L4" s="654"/>
      <c r="M4" s="650"/>
      <c r="N4" s="650"/>
      <c r="O4" s="651"/>
      <c r="P4" s="592"/>
      <c r="Q4" s="653"/>
      <c r="R4" s="657"/>
      <c r="S4" s="650"/>
      <c r="T4" s="650"/>
      <c r="U4" s="653"/>
      <c r="V4" s="644"/>
    </row>
    <row r="5" spans="9:32" ht="30" thickTop="1" thickBot="1">
      <c r="I5" s="45">
        <f t="shared" ref="I5:I16" si="0">Q5-L5</f>
        <v>4332500000</v>
      </c>
      <c r="J5" s="560">
        <f t="shared" ref="J5:J16" si="1">U5-O5</f>
        <v>4332500000</v>
      </c>
      <c r="K5" s="591"/>
      <c r="L5" s="45">
        <f>O5+N5-M5</f>
        <v>0</v>
      </c>
      <c r="M5" s="561"/>
      <c r="N5" s="561">
        <v>0</v>
      </c>
      <c r="O5" s="560">
        <f>'اطاعات تفصیلی سال قبل'!Q42</f>
        <v>0</v>
      </c>
      <c r="P5" s="591"/>
      <c r="Q5" s="45">
        <f t="shared" ref="Q5:Q11" si="2">U5+T5-S5+R5</f>
        <v>4332500000</v>
      </c>
      <c r="R5" s="561"/>
      <c r="S5" s="561"/>
      <c r="T5" s="561">
        <f>'دستمزد پروژه '!C42</f>
        <v>0</v>
      </c>
      <c r="U5" s="562">
        <f>'اطاعات تفصیلی سال قبل'!U42</f>
        <v>4332500000</v>
      </c>
      <c r="V5" s="567" t="s">
        <v>78</v>
      </c>
      <c r="X5" s="563" t="s">
        <v>230</v>
      </c>
      <c r="Y5" s="563" t="s">
        <v>95</v>
      </c>
      <c r="Z5" s="563" t="s">
        <v>94</v>
      </c>
      <c r="AA5" s="563" t="s">
        <v>93</v>
      </c>
      <c r="AB5" s="564" t="s">
        <v>231</v>
      </c>
      <c r="AC5" s="565"/>
      <c r="AD5" s="566" t="s">
        <v>92</v>
      </c>
      <c r="AE5" s="566" t="s">
        <v>91</v>
      </c>
      <c r="AF5" s="566" t="s">
        <v>231</v>
      </c>
    </row>
    <row r="6" spans="9:32" ht="30" thickTop="1" thickBot="1">
      <c r="I6" s="45">
        <f t="shared" si="0"/>
        <v>14923856794.866909</v>
      </c>
      <c r="J6" s="560">
        <f t="shared" si="1"/>
        <v>9450000000</v>
      </c>
      <c r="K6" s="591"/>
      <c r="L6" s="45">
        <f t="shared" ref="L6:L16" si="3">O6+N6-M6</f>
        <v>2332834568.1508899</v>
      </c>
      <c r="M6" s="561"/>
      <c r="N6" s="561">
        <f>(J6*10%)+(R6*10%/2)</f>
        <v>1282834568.1508899</v>
      </c>
      <c r="O6" s="560">
        <f>'اطاعات تفصیلی سال قبل'!Q43</f>
        <v>1050000000</v>
      </c>
      <c r="P6" s="591"/>
      <c r="Q6" s="45">
        <f t="shared" si="2"/>
        <v>17256691363.017799</v>
      </c>
      <c r="R6" s="561">
        <f>-R13</f>
        <v>6756691363.0177994</v>
      </c>
      <c r="S6" s="561"/>
      <c r="T6" s="561">
        <f>'دستمزد پروژه '!C43</f>
        <v>0</v>
      </c>
      <c r="U6" s="562">
        <f>'اطاعات تفصیلی سال قبل'!U43</f>
        <v>10500000000</v>
      </c>
      <c r="V6" s="567" t="s">
        <v>79</v>
      </c>
      <c r="X6" s="568">
        <f>SUM(Y6:AA6)</f>
        <v>100</v>
      </c>
      <c r="Y6" s="568">
        <v>5</v>
      </c>
      <c r="Z6" s="568">
        <v>90</v>
      </c>
      <c r="AA6" s="569">
        <v>5</v>
      </c>
      <c r="AB6" s="570" t="s">
        <v>79</v>
      </c>
      <c r="AC6" s="565"/>
      <c r="AD6" s="568">
        <v>10</v>
      </c>
      <c r="AE6" s="568" t="s">
        <v>819</v>
      </c>
      <c r="AF6" s="568" t="s">
        <v>79</v>
      </c>
    </row>
    <row r="7" spans="9:32" ht="30" thickTop="1" thickBot="1">
      <c r="I7" s="45">
        <f t="shared" si="0"/>
        <v>9862087518.8055344</v>
      </c>
      <c r="J7" s="560">
        <f t="shared" si="1"/>
        <v>6160000000</v>
      </c>
      <c r="K7" s="591"/>
      <c r="L7" s="45">
        <f t="shared" si="3"/>
        <v>1862686437.3705659</v>
      </c>
      <c r="M7" s="561"/>
      <c r="N7" s="561">
        <f>(J7*12%)+(T7*12%/2)</f>
        <v>1022686437.3705659</v>
      </c>
      <c r="O7" s="560">
        <f>'اطاعات تفصیلی سال قبل'!Q44</f>
        <v>840000000</v>
      </c>
      <c r="P7" s="591"/>
      <c r="Q7" s="45">
        <f t="shared" si="2"/>
        <v>11724773956.1761</v>
      </c>
      <c r="R7" s="561"/>
      <c r="S7" s="561"/>
      <c r="T7" s="822">
        <f>'دستمزد پروژه '!C44</f>
        <v>4724773956.1760998</v>
      </c>
      <c r="U7" s="562">
        <f>'اطاعات تفصیلی سال قبل'!U44</f>
        <v>7000000000</v>
      </c>
      <c r="V7" s="567" t="s">
        <v>80</v>
      </c>
      <c r="X7" s="568">
        <f t="shared" ref="X7:X11" si="4">SUM(Y7:AA7)</f>
        <v>100</v>
      </c>
      <c r="Y7" s="568">
        <v>3</v>
      </c>
      <c r="Z7" s="568">
        <v>94</v>
      </c>
      <c r="AA7" s="568">
        <v>3</v>
      </c>
      <c r="AB7" s="570" t="s">
        <v>80</v>
      </c>
      <c r="AC7" s="565"/>
      <c r="AD7" s="568">
        <v>12</v>
      </c>
      <c r="AE7" s="568" t="s">
        <v>817</v>
      </c>
      <c r="AF7" s="568" t="s">
        <v>80</v>
      </c>
    </row>
    <row r="8" spans="9:32" ht="30" thickTop="1" thickBot="1">
      <c r="I8" s="45">
        <f t="shared" si="0"/>
        <v>27726350583.915096</v>
      </c>
      <c r="J8" s="560">
        <f t="shared" si="1"/>
        <v>20125000000</v>
      </c>
      <c r="K8" s="591"/>
      <c r="L8" s="45">
        <f t="shared" si="3"/>
        <v>6448423372.2610064</v>
      </c>
      <c r="M8" s="561"/>
      <c r="N8" s="561">
        <f>(U8/8)+(T8/8/2)</f>
        <v>3573423372.2610064</v>
      </c>
      <c r="O8" s="560">
        <f>'اطاعات تفصیلی سال قبل'!Q45</f>
        <v>2875000000</v>
      </c>
      <c r="P8" s="591"/>
      <c r="Q8" s="45">
        <f t="shared" si="2"/>
        <v>34174773956.176102</v>
      </c>
      <c r="R8" s="561"/>
      <c r="S8" s="561"/>
      <c r="T8" s="822">
        <f>'دستمزد پروژه '!C45</f>
        <v>11174773956.1761</v>
      </c>
      <c r="U8" s="562">
        <f>'اطاعات تفصیلی سال قبل'!U45</f>
        <v>23000000000</v>
      </c>
      <c r="V8" s="567" t="s">
        <v>81</v>
      </c>
      <c r="X8" s="568">
        <f t="shared" si="4"/>
        <v>100</v>
      </c>
      <c r="Y8" s="568">
        <v>0</v>
      </c>
      <c r="Z8" s="568">
        <v>100</v>
      </c>
      <c r="AA8" s="568">
        <v>0</v>
      </c>
      <c r="AB8" s="570" t="s">
        <v>81</v>
      </c>
      <c r="AC8" s="565"/>
      <c r="AD8" s="568">
        <v>8</v>
      </c>
      <c r="AE8" s="568" t="s">
        <v>818</v>
      </c>
      <c r="AF8" s="568" t="s">
        <v>81</v>
      </c>
    </row>
    <row r="9" spans="9:32" ht="30" thickTop="1" thickBot="1">
      <c r="I9" s="45">
        <f t="shared" si="0"/>
        <v>1720000000</v>
      </c>
      <c r="J9" s="560">
        <f t="shared" si="1"/>
        <v>1170000000</v>
      </c>
      <c r="K9" s="591"/>
      <c r="L9" s="45">
        <f t="shared" si="3"/>
        <v>580000000</v>
      </c>
      <c r="M9" s="561"/>
      <c r="N9" s="561">
        <f>(U9/4)+(T9/4/2)</f>
        <v>450000000</v>
      </c>
      <c r="O9" s="560">
        <f>'اطاعات تفصیلی سال قبل'!Q46</f>
        <v>130000000</v>
      </c>
      <c r="P9" s="591"/>
      <c r="Q9" s="45">
        <f t="shared" si="2"/>
        <v>2300000000</v>
      </c>
      <c r="R9" s="561"/>
      <c r="S9" s="561"/>
      <c r="T9" s="822">
        <f>'دستمزد پروژه '!C47</f>
        <v>1000000000</v>
      </c>
      <c r="U9" s="562">
        <f>'اطاعات تفصیلی سال قبل'!U46</f>
        <v>1300000000</v>
      </c>
      <c r="V9" s="567" t="s">
        <v>86</v>
      </c>
      <c r="X9" s="568">
        <f t="shared" si="4"/>
        <v>100</v>
      </c>
      <c r="Y9" s="568">
        <v>30</v>
      </c>
      <c r="Z9" s="568">
        <v>20</v>
      </c>
      <c r="AA9" s="568">
        <v>50</v>
      </c>
      <c r="AB9" s="570" t="s">
        <v>86</v>
      </c>
      <c r="AC9" s="565"/>
      <c r="AD9" s="568">
        <v>4</v>
      </c>
      <c r="AE9" s="568" t="s">
        <v>816</v>
      </c>
      <c r="AF9" s="568" t="s">
        <v>86</v>
      </c>
    </row>
    <row r="10" spans="9:32" ht="30" thickTop="1" thickBot="1">
      <c r="I10" s="45">
        <f t="shared" si="0"/>
        <v>2854166666.6666665</v>
      </c>
      <c r="J10" s="560">
        <f t="shared" si="1"/>
        <v>1312500000</v>
      </c>
      <c r="K10" s="591"/>
      <c r="L10" s="45">
        <f t="shared" si="3"/>
        <v>895833333.33333337</v>
      </c>
      <c r="M10" s="561"/>
      <c r="N10" s="561">
        <f>(U10/6)+(T10/6/2)</f>
        <v>458333333.33333337</v>
      </c>
      <c r="O10" s="560">
        <f>'اطاعات تفصیلی سال قبل'!Q47</f>
        <v>437500000</v>
      </c>
      <c r="P10" s="591"/>
      <c r="Q10" s="45">
        <f t="shared" si="2"/>
        <v>3750000000</v>
      </c>
      <c r="R10" s="561"/>
      <c r="S10" s="561"/>
      <c r="T10" s="822">
        <f>'دستمزد پروژه '!C48</f>
        <v>2000000000</v>
      </c>
      <c r="U10" s="562">
        <f>'اطاعات تفصیلی سال قبل'!U47</f>
        <v>1750000000</v>
      </c>
      <c r="V10" s="567" t="s">
        <v>82</v>
      </c>
      <c r="X10" s="568">
        <f t="shared" si="4"/>
        <v>100</v>
      </c>
      <c r="Y10" s="568">
        <v>10</v>
      </c>
      <c r="Z10" s="568">
        <v>30</v>
      </c>
      <c r="AA10" s="568">
        <v>60</v>
      </c>
      <c r="AB10" s="570" t="s">
        <v>82</v>
      </c>
      <c r="AC10" s="565"/>
      <c r="AD10" s="568">
        <v>6</v>
      </c>
      <c r="AE10" s="568" t="s">
        <v>818</v>
      </c>
      <c r="AF10" s="568" t="s">
        <v>82</v>
      </c>
    </row>
    <row r="11" spans="9:32" ht="30" thickTop="1" thickBot="1">
      <c r="I11" s="45">
        <f t="shared" si="0"/>
        <v>1437500000</v>
      </c>
      <c r="J11" s="560">
        <f t="shared" si="1"/>
        <v>750000000</v>
      </c>
      <c r="K11" s="591"/>
      <c r="L11" s="45">
        <f t="shared" si="3"/>
        <v>562500000</v>
      </c>
      <c r="M11" s="571"/>
      <c r="N11" s="561">
        <f>(J11*25%)+(T11*25%/2)</f>
        <v>312500000</v>
      </c>
      <c r="O11" s="560">
        <f>'اطاعات تفصیلی سال قبل'!Q48</f>
        <v>250000000</v>
      </c>
      <c r="P11" s="591"/>
      <c r="Q11" s="45">
        <f t="shared" si="2"/>
        <v>2000000000</v>
      </c>
      <c r="R11" s="571"/>
      <c r="S11" s="571"/>
      <c r="T11" s="822">
        <f>'دستمزد پروژه '!C46</f>
        <v>1000000000</v>
      </c>
      <c r="U11" s="562">
        <f>'اطاعات تفصیلی سال قبل'!U48</f>
        <v>1000000000</v>
      </c>
      <c r="V11" s="572" t="s">
        <v>87</v>
      </c>
      <c r="X11" s="568">
        <f t="shared" si="4"/>
        <v>100</v>
      </c>
      <c r="Y11" s="568">
        <v>5</v>
      </c>
      <c r="Z11" s="568">
        <v>90</v>
      </c>
      <c r="AA11" s="568">
        <v>5</v>
      </c>
      <c r="AB11" s="570" t="s">
        <v>87</v>
      </c>
      <c r="AC11" s="565"/>
      <c r="AD11" s="568">
        <v>25</v>
      </c>
      <c r="AE11" s="568" t="s">
        <v>817</v>
      </c>
      <c r="AF11" s="568" t="s">
        <v>87</v>
      </c>
    </row>
    <row r="12" spans="9:32" ht="50.25" customHeight="1" thickTop="1" thickBot="1">
      <c r="I12" s="563">
        <f t="shared" si="0"/>
        <v>62856461564.254196</v>
      </c>
      <c r="J12" s="573">
        <f t="shared" si="1"/>
        <v>43300000000</v>
      </c>
      <c r="K12" s="591"/>
      <c r="L12" s="563">
        <f t="shared" si="3"/>
        <v>12682277711.115795</v>
      </c>
      <c r="M12" s="574">
        <f>SUM(M5:M11)</f>
        <v>0</v>
      </c>
      <c r="N12" s="574">
        <f>SUM(N5:N11)</f>
        <v>7099777711.1157951</v>
      </c>
      <c r="O12" s="573">
        <f>'اطاعات تفصیلی سال قبل'!Q49</f>
        <v>5582500000</v>
      </c>
      <c r="P12" s="591"/>
      <c r="Q12" s="563">
        <f t="shared" ref="Q12:S12" si="5">SUM(Q5:Q11)</f>
        <v>75538739275.369995</v>
      </c>
      <c r="R12" s="563">
        <f t="shared" si="5"/>
        <v>6756691363.0177994</v>
      </c>
      <c r="S12" s="563">
        <f t="shared" si="5"/>
        <v>0</v>
      </c>
      <c r="T12" s="563">
        <f>SUM(T5:T11)</f>
        <v>19899547912.3522</v>
      </c>
      <c r="U12" s="563">
        <f>'اطاعات تفصیلی سال قبل'!U49</f>
        <v>48882500000</v>
      </c>
      <c r="V12" s="574" t="s">
        <v>83</v>
      </c>
    </row>
    <row r="13" spans="9:32" ht="30" thickTop="1" thickBot="1">
      <c r="I13" s="45">
        <f t="shared" si="0"/>
        <v>0</v>
      </c>
      <c r="J13" s="560">
        <f t="shared" si="1"/>
        <v>2000000000</v>
      </c>
      <c r="K13" s="591"/>
      <c r="L13" s="575"/>
      <c r="M13" s="576"/>
      <c r="N13" s="576"/>
      <c r="O13" s="589"/>
      <c r="P13" s="591"/>
      <c r="Q13" s="45">
        <f>U13+T13-S13+R13</f>
        <v>0</v>
      </c>
      <c r="R13" s="577">
        <f>-(T13+U13)</f>
        <v>-6756691363.0177994</v>
      </c>
      <c r="S13" s="577"/>
      <c r="T13" s="823">
        <f>'دستمزد پروژه '!C49</f>
        <v>4756691363.0177994</v>
      </c>
      <c r="U13" s="562">
        <f>'اطاعات تفصیلی سال قبل'!U50</f>
        <v>2000000000</v>
      </c>
      <c r="V13" s="578" t="s">
        <v>84</v>
      </c>
      <c r="X13" s="563" t="s">
        <v>230</v>
      </c>
      <c r="Y13" s="563" t="s">
        <v>95</v>
      </c>
      <c r="Z13" s="563" t="s">
        <v>94</v>
      </c>
      <c r="AA13" s="563" t="s">
        <v>93</v>
      </c>
      <c r="AB13" s="564" t="s">
        <v>231</v>
      </c>
      <c r="AD13" s="579"/>
      <c r="AE13" s="579"/>
    </row>
    <row r="14" spans="9:32" ht="30" thickTop="1" thickBot="1">
      <c r="I14" s="45">
        <f t="shared" si="0"/>
        <v>100000000</v>
      </c>
      <c r="J14" s="560">
        <f t="shared" si="1"/>
        <v>100000000</v>
      </c>
      <c r="K14" s="591"/>
      <c r="L14" s="580"/>
      <c r="M14" s="581"/>
      <c r="N14" s="581"/>
      <c r="O14" s="590"/>
      <c r="P14" s="591"/>
      <c r="Q14" s="45">
        <f>U14+T14-S14+R14</f>
        <v>100000000</v>
      </c>
      <c r="R14" s="561"/>
      <c r="S14" s="561"/>
      <c r="T14" s="561"/>
      <c r="U14" s="562">
        <f>'اطاعات تفصیلی سال قبل'!U51</f>
        <v>100000000</v>
      </c>
      <c r="V14" s="567" t="s">
        <v>85</v>
      </c>
      <c r="X14" s="568">
        <f>N6</f>
        <v>1282834568.1508899</v>
      </c>
      <c r="Y14" s="568">
        <f>X14*Y6%</f>
        <v>64141728.407544494</v>
      </c>
      <c r="Z14" s="568">
        <f>X14*Z6%</f>
        <v>1154551111.3358009</v>
      </c>
      <c r="AA14" s="568">
        <f>X14*AA6%</f>
        <v>64141728.407544494</v>
      </c>
      <c r="AB14" s="570" t="s">
        <v>79</v>
      </c>
      <c r="AD14" s="582"/>
      <c r="AE14" s="582"/>
    </row>
    <row r="15" spans="9:32" ht="58.5" thickTop="1" thickBot="1">
      <c r="I15" s="563">
        <f t="shared" si="0"/>
        <v>100000000</v>
      </c>
      <c r="J15" s="573">
        <f t="shared" si="1"/>
        <v>2100000000</v>
      </c>
      <c r="K15" s="591"/>
      <c r="L15" s="563">
        <f t="shared" si="3"/>
        <v>0</v>
      </c>
      <c r="M15" s="563">
        <v>0</v>
      </c>
      <c r="N15" s="563">
        <v>0</v>
      </c>
      <c r="O15" s="573">
        <f>'اطاعات تفصیلی سال قبل'!Q52</f>
        <v>0</v>
      </c>
      <c r="P15" s="591"/>
      <c r="Q15" s="563">
        <f t="shared" ref="Q15:S15" si="6">SUM(Q13:Q14)</f>
        <v>100000000</v>
      </c>
      <c r="R15" s="563">
        <f t="shared" si="6"/>
        <v>-6756691363.0177994</v>
      </c>
      <c r="S15" s="563">
        <f t="shared" si="6"/>
        <v>0</v>
      </c>
      <c r="T15" s="563">
        <f>SUM(T13:T14)</f>
        <v>4756691363.0177994</v>
      </c>
      <c r="U15" s="563">
        <f>'اطاعات تفصیلی سال قبل'!U52</f>
        <v>2100000000</v>
      </c>
      <c r="V15" s="583" t="s">
        <v>232</v>
      </c>
      <c r="X15" s="568">
        <f t="shared" ref="X15:X19" si="7">N7</f>
        <v>1022686437.3705659</v>
      </c>
      <c r="Y15" s="568">
        <f t="shared" ref="Y15:Y19" si="8">X15*Y7%</f>
        <v>30680593.121116977</v>
      </c>
      <c r="Z15" s="568">
        <f t="shared" ref="Z15:Z19" si="9">X15*Z7%</f>
        <v>961325251.1283319</v>
      </c>
      <c r="AA15" s="568">
        <f t="shared" ref="AA15:AA19" si="10">X15*AA7%</f>
        <v>30680593.121116977</v>
      </c>
      <c r="AB15" s="570" t="s">
        <v>80</v>
      </c>
      <c r="AD15" s="582"/>
      <c r="AE15" s="582"/>
    </row>
    <row r="16" spans="9:32" ht="45" customHeight="1" thickTop="1" thickBot="1">
      <c r="I16" s="45">
        <f t="shared" si="0"/>
        <v>62956461564.254196</v>
      </c>
      <c r="J16" s="560">
        <f t="shared" si="1"/>
        <v>45400000000</v>
      </c>
      <c r="K16" s="591"/>
      <c r="L16" s="45">
        <f t="shared" si="3"/>
        <v>12682277711.115795</v>
      </c>
      <c r="M16" s="561">
        <f t="shared" ref="M16" si="11">M12+M15</f>
        <v>0</v>
      </c>
      <c r="N16" s="561">
        <f>N12+N15</f>
        <v>7099777711.1157951</v>
      </c>
      <c r="O16" s="560">
        <f>'اطاعات تفصیلی سال قبل'!Q53</f>
        <v>5582500000</v>
      </c>
      <c r="P16" s="591"/>
      <c r="Q16" s="584">
        <f t="shared" ref="Q16:S16" si="12">Q15+Q12</f>
        <v>75638739275.369995</v>
      </c>
      <c r="R16" s="585">
        <f t="shared" si="12"/>
        <v>0</v>
      </c>
      <c r="S16" s="585">
        <f t="shared" si="12"/>
        <v>0</v>
      </c>
      <c r="T16" s="824">
        <f>T15+T12</f>
        <v>24656239275.369999</v>
      </c>
      <c r="U16" s="562">
        <f>'اطاعات تفصیلی سال قبل'!U53</f>
        <v>50982500000</v>
      </c>
      <c r="V16" s="586" t="s">
        <v>42</v>
      </c>
      <c r="X16" s="568">
        <f t="shared" si="7"/>
        <v>3573423372.2610064</v>
      </c>
      <c r="Y16" s="568">
        <f t="shared" si="8"/>
        <v>0</v>
      </c>
      <c r="Z16" s="568">
        <f t="shared" si="9"/>
        <v>3573423372.2610064</v>
      </c>
      <c r="AA16" s="568">
        <f t="shared" si="10"/>
        <v>0</v>
      </c>
      <c r="AB16" s="570" t="s">
        <v>81</v>
      </c>
      <c r="AD16" s="582"/>
      <c r="AE16" s="582"/>
    </row>
    <row r="17" spans="15:31" ht="30" thickTop="1" thickBot="1">
      <c r="O17" s="579"/>
      <c r="P17" s="579"/>
      <c r="Q17" s="579"/>
      <c r="R17" s="579"/>
      <c r="S17" s="579"/>
      <c r="T17" s="579"/>
      <c r="U17" s="579"/>
      <c r="V17" s="579"/>
      <c r="X17" s="568">
        <f t="shared" si="7"/>
        <v>450000000</v>
      </c>
      <c r="Y17" s="568">
        <f t="shared" si="8"/>
        <v>135000000</v>
      </c>
      <c r="Z17" s="568">
        <f t="shared" si="9"/>
        <v>90000000</v>
      </c>
      <c r="AA17" s="568">
        <f t="shared" si="10"/>
        <v>225000000</v>
      </c>
      <c r="AB17" s="570" t="s">
        <v>86</v>
      </c>
      <c r="AD17" s="582"/>
      <c r="AE17" s="582"/>
    </row>
    <row r="18" spans="15:31" ht="30" thickTop="1" thickBot="1">
      <c r="O18" s="579"/>
      <c r="P18" s="579"/>
      <c r="Q18" s="579"/>
      <c r="R18" s="579"/>
      <c r="S18" s="587"/>
      <c r="T18" s="579"/>
      <c r="U18" s="579"/>
      <c r="V18" s="579"/>
      <c r="X18" s="568">
        <f t="shared" si="7"/>
        <v>458333333.33333337</v>
      </c>
      <c r="Y18" s="568">
        <f t="shared" si="8"/>
        <v>45833333.333333343</v>
      </c>
      <c r="Z18" s="568">
        <f t="shared" si="9"/>
        <v>137500000</v>
      </c>
      <c r="AA18" s="568">
        <f t="shared" si="10"/>
        <v>275000000</v>
      </c>
      <c r="AB18" s="570" t="s">
        <v>82</v>
      </c>
      <c r="AD18" s="582"/>
      <c r="AE18" s="582"/>
    </row>
    <row r="19" spans="15:31" ht="30" thickTop="1" thickBot="1">
      <c r="O19" s="579"/>
      <c r="P19" s="579"/>
      <c r="Q19" s="579"/>
      <c r="R19" s="579"/>
      <c r="S19" s="579"/>
      <c r="T19" s="579"/>
      <c r="U19" s="579"/>
      <c r="V19" s="579"/>
      <c r="X19" s="568">
        <f t="shared" si="7"/>
        <v>312500000</v>
      </c>
      <c r="Y19" s="568">
        <f t="shared" si="8"/>
        <v>15625000</v>
      </c>
      <c r="Z19" s="568">
        <f t="shared" si="9"/>
        <v>281250000</v>
      </c>
      <c r="AA19" s="568">
        <f t="shared" si="10"/>
        <v>15625000</v>
      </c>
      <c r="AB19" s="568" t="s">
        <v>287</v>
      </c>
      <c r="AC19" s="588"/>
      <c r="AD19" s="582"/>
      <c r="AE19" s="582"/>
    </row>
    <row r="20" spans="15:31" ht="30" thickTop="1" thickBot="1">
      <c r="O20" s="579"/>
      <c r="P20" s="579"/>
      <c r="Q20" s="579"/>
      <c r="R20" s="579"/>
      <c r="S20" s="579"/>
      <c r="T20" s="579"/>
      <c r="U20" s="579"/>
      <c r="V20" s="579"/>
      <c r="X20" s="563">
        <f>SUM(X14:X19)</f>
        <v>7099777711.1157951</v>
      </c>
      <c r="Y20" s="563">
        <f t="shared" ref="Y20:Z20" si="13">SUM(Y14:Y19)</f>
        <v>291280654.86199486</v>
      </c>
      <c r="Z20" s="563">
        <f t="shared" si="13"/>
        <v>6198049734.7251396</v>
      </c>
      <c r="AA20" s="563">
        <f>SUM(AA14:AA19)</f>
        <v>610447321.52866149</v>
      </c>
      <c r="AB20" s="564" t="s">
        <v>12</v>
      </c>
    </row>
    <row r="21" spans="15:31" ht="29.25" thickTop="1">
      <c r="O21" s="579"/>
      <c r="P21" s="579"/>
      <c r="Q21" s="579"/>
      <c r="R21" s="579"/>
      <c r="S21" s="579"/>
      <c r="T21" s="579"/>
      <c r="U21" s="579"/>
      <c r="V21" s="579"/>
    </row>
  </sheetData>
  <mergeCells count="16">
    <mergeCell ref="X2:AB3"/>
    <mergeCell ref="V2:V4"/>
    <mergeCell ref="I2:J2"/>
    <mergeCell ref="J3:J4"/>
    <mergeCell ref="I3:I4"/>
    <mergeCell ref="T3:T4"/>
    <mergeCell ref="S3:S4"/>
    <mergeCell ref="N3:N4"/>
    <mergeCell ref="O3:O4"/>
    <mergeCell ref="Q3:Q4"/>
    <mergeCell ref="M3:M4"/>
    <mergeCell ref="L3:L4"/>
    <mergeCell ref="L2:O2"/>
    <mergeCell ref="Q2:U2"/>
    <mergeCell ref="U3:U4"/>
    <mergeCell ref="R3:R4"/>
  </mergeCells>
  <hyperlinks>
    <hyperlink ref="V2:V4" r:id="rId1" location="'فهرست مطالب'!A1" display="دارایی های ثابت مشهود"/>
  </hyperlinks>
  <pageMargins left="0.7" right="0.7" top="0.75" bottom="0.75" header="0.3" footer="0.3"/>
  <pageSetup paperSize="9" orientation="portrait"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H2:O42"/>
  <sheetViews>
    <sheetView topLeftCell="I15" zoomScale="80" zoomScaleNormal="80" workbookViewId="0">
      <selection activeCell="K27" sqref="K27"/>
    </sheetView>
  </sheetViews>
  <sheetFormatPr defaultColWidth="9.140625" defaultRowHeight="33.75"/>
  <cols>
    <col min="1" max="4" width="9.140625" style="24"/>
    <col min="5" max="5" width="9.140625" style="24" customWidth="1"/>
    <col min="6" max="6" width="9.140625" style="24"/>
    <col min="7" max="7" width="0.85546875" style="24" customWidth="1"/>
    <col min="8" max="8" width="82.7109375" style="24" bestFit="1" customWidth="1"/>
    <col min="9" max="9" width="41.5703125" style="24" bestFit="1" customWidth="1"/>
    <col min="10" max="10" width="39.7109375" style="113" bestFit="1" customWidth="1"/>
    <col min="11" max="11" width="65.85546875" style="25" bestFit="1" customWidth="1"/>
    <col min="12" max="12" width="3.28515625" style="24" bestFit="1" customWidth="1"/>
    <col min="13" max="13" width="9.140625" style="24"/>
    <col min="14" max="14" width="14.42578125" style="24" bestFit="1" customWidth="1"/>
    <col min="15" max="15" width="49" style="24" bestFit="1" customWidth="1"/>
    <col min="16" max="16384" width="9.140625" style="24"/>
  </cols>
  <sheetData>
    <row r="2" spans="8:15" ht="34.5" thickBot="1">
      <c r="H2" s="23"/>
      <c r="I2" s="23"/>
      <c r="J2" s="111"/>
    </row>
    <row r="3" spans="8:15" ht="39" customHeight="1">
      <c r="H3" s="672" t="s">
        <v>96</v>
      </c>
      <c r="I3" s="672"/>
      <c r="J3" s="672"/>
      <c r="K3" s="672"/>
      <c r="N3" s="674" t="s">
        <v>362</v>
      </c>
      <c r="O3" s="675"/>
    </row>
    <row r="4" spans="8:15" ht="72" customHeight="1" thickBot="1">
      <c r="H4" s="669" t="s">
        <v>724</v>
      </c>
      <c r="I4" s="670"/>
      <c r="J4" s="670"/>
      <c r="K4" s="671"/>
      <c r="N4" s="676"/>
      <c r="O4" s="677"/>
    </row>
    <row r="5" spans="8:15" ht="34.5" thickBot="1">
      <c r="H5" s="27"/>
      <c r="I5" s="28"/>
      <c r="J5" s="112" t="s">
        <v>734</v>
      </c>
      <c r="K5" s="29"/>
      <c r="N5" s="678" t="s">
        <v>357</v>
      </c>
      <c r="O5" s="679"/>
    </row>
    <row r="6" spans="8:15" ht="27" thickBot="1">
      <c r="H6" s="418" t="s">
        <v>97</v>
      </c>
      <c r="I6" s="418" t="s">
        <v>98</v>
      </c>
      <c r="J6" s="419">
        <f>'فروش محصولات '!D9</f>
        <v>169135000000</v>
      </c>
      <c r="K6" s="26" t="s">
        <v>714</v>
      </c>
      <c r="N6" s="680"/>
      <c r="O6" s="681"/>
    </row>
    <row r="7" spans="8:15" ht="27" thickBot="1">
      <c r="H7" s="418" t="s">
        <v>99</v>
      </c>
      <c r="I7" s="418"/>
      <c r="J7" s="418"/>
      <c r="K7" s="26" t="s">
        <v>100</v>
      </c>
      <c r="N7" s="680"/>
      <c r="O7" s="681"/>
    </row>
    <row r="8" spans="8:15" ht="27" thickBot="1">
      <c r="H8" s="418" t="s">
        <v>101</v>
      </c>
      <c r="I8" s="418" t="s">
        <v>102</v>
      </c>
      <c r="J8" s="418"/>
      <c r="K8" s="26" t="s">
        <v>103</v>
      </c>
      <c r="N8" s="680"/>
      <c r="O8" s="681"/>
    </row>
    <row r="9" spans="8:15" ht="27" thickBot="1">
      <c r="H9" s="418" t="s">
        <v>104</v>
      </c>
      <c r="I9" s="418" t="s">
        <v>105</v>
      </c>
      <c r="J9" s="418">
        <f>'فروش محصولات '!D10</f>
        <v>7058000000</v>
      </c>
      <c r="K9" s="26" t="s">
        <v>106</v>
      </c>
      <c r="N9" s="680"/>
      <c r="O9" s="681"/>
    </row>
    <row r="10" spans="8:15" ht="27" thickBot="1">
      <c r="H10" s="418" t="s">
        <v>107</v>
      </c>
      <c r="I10" s="418" t="s">
        <v>108</v>
      </c>
      <c r="J10" s="419">
        <f>J6-J8-J9</f>
        <v>162077000000</v>
      </c>
      <c r="K10" s="26" t="s">
        <v>715</v>
      </c>
      <c r="N10" s="680"/>
      <c r="O10" s="681"/>
    </row>
    <row r="11" spans="8:15" ht="27" thickBot="1">
      <c r="H11" s="418" t="s">
        <v>109</v>
      </c>
      <c r="I11" s="418"/>
      <c r="J11" s="418"/>
      <c r="K11" s="26" t="s">
        <v>100</v>
      </c>
      <c r="N11" s="682"/>
      <c r="O11" s="683"/>
    </row>
    <row r="12" spans="8:15" ht="27" thickBot="1">
      <c r="H12" s="418" t="s">
        <v>110</v>
      </c>
      <c r="I12" s="418" t="s">
        <v>111</v>
      </c>
      <c r="J12" s="420">
        <f>'گردش قیمت تمام شده - محصولات'!I8</f>
        <v>70853658388.40033</v>
      </c>
      <c r="K12" s="26" t="s">
        <v>235</v>
      </c>
      <c r="N12" s="195">
        <f>J12/J10*100</f>
        <v>43.716047550485463</v>
      </c>
      <c r="O12" s="196" t="s">
        <v>363</v>
      </c>
    </row>
    <row r="13" spans="8:15" ht="27" thickBot="1">
      <c r="H13" s="418" t="s">
        <v>112</v>
      </c>
      <c r="I13" s="418" t="s">
        <v>113</v>
      </c>
      <c r="J13" s="419">
        <f>J10-J12</f>
        <v>91223341611.59967</v>
      </c>
      <c r="K13" s="26" t="s">
        <v>114</v>
      </c>
      <c r="N13" s="197">
        <f>J13/J10*100</f>
        <v>56.28395244951453</v>
      </c>
      <c r="O13" s="196" t="s">
        <v>358</v>
      </c>
    </row>
    <row r="14" spans="8:15" ht="27" thickBot="1">
      <c r="H14" s="418" t="s">
        <v>109</v>
      </c>
      <c r="I14" s="418"/>
      <c r="J14" s="418"/>
      <c r="K14" s="26" t="s">
        <v>100</v>
      </c>
      <c r="N14" s="658"/>
      <c r="O14" s="659"/>
    </row>
    <row r="15" spans="8:15" ht="27" thickBot="1">
      <c r="H15" s="418" t="s">
        <v>286</v>
      </c>
      <c r="I15" s="418" t="s">
        <v>115</v>
      </c>
      <c r="J15" s="421">
        <f>'هزینه اداری '!C31</f>
        <v>14632742020.691162</v>
      </c>
      <c r="K15" s="26" t="s">
        <v>116</v>
      </c>
      <c r="L15" s="673"/>
      <c r="N15" s="660"/>
      <c r="O15" s="661"/>
    </row>
    <row r="16" spans="8:15" ht="27" thickBot="1">
      <c r="H16" s="418" t="s">
        <v>117</v>
      </c>
      <c r="I16" s="418" t="s">
        <v>118</v>
      </c>
      <c r="J16" s="421">
        <f>'توزیع و فروش '!C33</f>
        <v>34361015045.441833</v>
      </c>
      <c r="K16" s="26" t="s">
        <v>119</v>
      </c>
      <c r="L16" s="673"/>
      <c r="N16" s="660"/>
      <c r="O16" s="661"/>
    </row>
    <row r="17" spans="8:15" ht="27" thickBot="1">
      <c r="H17" s="418"/>
      <c r="I17" s="418"/>
      <c r="J17" s="421">
        <f>'گردش قیمت تمام شده - محصولات'!P8</f>
        <v>818542640.6351862</v>
      </c>
      <c r="K17" s="26" t="s">
        <v>354</v>
      </c>
      <c r="L17" s="193" t="s">
        <v>356</v>
      </c>
      <c r="N17" s="662"/>
      <c r="O17" s="663"/>
    </row>
    <row r="18" spans="8:15" ht="27" thickBot="1">
      <c r="H18" s="418" t="s">
        <v>120</v>
      </c>
      <c r="I18" s="418" t="s">
        <v>121</v>
      </c>
      <c r="J18" s="419">
        <f>J13-J15-J16-J17</f>
        <v>41411041904.83149</v>
      </c>
      <c r="K18" s="26" t="s">
        <v>122</v>
      </c>
      <c r="N18" s="197">
        <f>J18/J10*100</f>
        <v>25.550227302351036</v>
      </c>
      <c r="O18" s="196" t="s">
        <v>359</v>
      </c>
    </row>
    <row r="19" spans="8:15" ht="27" thickBot="1">
      <c r="H19" s="418" t="s">
        <v>123</v>
      </c>
      <c r="I19" s="418"/>
      <c r="J19" s="418"/>
      <c r="K19" s="26" t="s">
        <v>124</v>
      </c>
      <c r="N19" s="658"/>
      <c r="O19" s="659"/>
    </row>
    <row r="20" spans="8:15" ht="27" thickBot="1">
      <c r="H20" s="418" t="s">
        <v>284</v>
      </c>
      <c r="I20" s="418" t="s">
        <v>125</v>
      </c>
      <c r="J20" s="418">
        <f>'گردش جریان وجه نقد'!D25+'وام '!A78</f>
        <v>3144634151.486907</v>
      </c>
      <c r="K20" s="26" t="s">
        <v>126</v>
      </c>
      <c r="N20" s="660"/>
      <c r="O20" s="661"/>
    </row>
    <row r="21" spans="8:15" ht="27" thickBot="1">
      <c r="H21" s="418" t="s">
        <v>127</v>
      </c>
      <c r="I21" s="418"/>
      <c r="J21" s="418"/>
      <c r="K21" s="26" t="s">
        <v>128</v>
      </c>
      <c r="N21" s="660"/>
      <c r="O21" s="661"/>
    </row>
    <row r="22" spans="8:15" ht="53.25" thickBot="1">
      <c r="H22" s="422" t="s">
        <v>285</v>
      </c>
      <c r="I22" s="418" t="s">
        <v>129</v>
      </c>
      <c r="J22" s="418">
        <f>'گردش جریان وجه نقد'!D10</f>
        <v>791666666.66666663</v>
      </c>
      <c r="K22" s="26" t="s">
        <v>130</v>
      </c>
      <c r="L22" s="24" t="s">
        <v>355</v>
      </c>
      <c r="N22" s="662"/>
      <c r="O22" s="663"/>
    </row>
    <row r="23" spans="8:15" ht="27" thickBot="1">
      <c r="H23" s="418" t="s">
        <v>131</v>
      </c>
      <c r="I23" s="418" t="s">
        <v>132</v>
      </c>
      <c r="J23" s="419">
        <f>J18-J20+J22</f>
        <v>39058074420.011246</v>
      </c>
      <c r="K23" s="26" t="s">
        <v>133</v>
      </c>
      <c r="N23" s="197">
        <f>J23/J10*100</f>
        <v>24.098468271260725</v>
      </c>
      <c r="O23" s="196" t="s">
        <v>360</v>
      </c>
    </row>
    <row r="24" spans="8:15" ht="27" thickBot="1">
      <c r="H24" s="418"/>
      <c r="I24" s="418"/>
      <c r="J24" s="419">
        <f>J23-J22</f>
        <v>38266407753.344582</v>
      </c>
      <c r="K24" s="26" t="s">
        <v>408</v>
      </c>
      <c r="N24" s="195"/>
      <c r="O24" s="219"/>
    </row>
    <row r="25" spans="8:15" ht="27" thickBot="1">
      <c r="H25" s="418" t="s">
        <v>134</v>
      </c>
      <c r="I25" s="418" t="s">
        <v>135</v>
      </c>
      <c r="J25" s="418">
        <f>IF(J24&gt;0,J24*25%,0)</f>
        <v>9566601938.3361454</v>
      </c>
      <c r="K25" s="26" t="s">
        <v>136</v>
      </c>
      <c r="N25" s="664"/>
      <c r="O25" s="665"/>
    </row>
    <row r="26" spans="8:15" ht="27" thickBot="1">
      <c r="H26" s="418" t="s">
        <v>137</v>
      </c>
      <c r="I26" s="418" t="s">
        <v>138</v>
      </c>
      <c r="J26" s="419">
        <f>J23-J25</f>
        <v>29491472481.675102</v>
      </c>
      <c r="K26" s="26" t="s">
        <v>139</v>
      </c>
      <c r="N26" s="197">
        <f>J26/J10*100</f>
        <v>18.19596394409762</v>
      </c>
      <c r="O26" s="196" t="s">
        <v>361</v>
      </c>
    </row>
    <row r="27" spans="8:15" ht="68.25" customHeight="1" thickBot="1">
      <c r="H27" s="423"/>
      <c r="I27" s="423"/>
      <c r="J27" s="423"/>
      <c r="K27" s="424"/>
      <c r="N27" s="194">
        <f>J26/((ترازنامه!R37+ترازنامه!Q37)/2)*100</f>
        <v>38.354345829506002</v>
      </c>
      <c r="O27" s="198" t="s">
        <v>372</v>
      </c>
    </row>
    <row r="28" spans="8:15" ht="59.25" customHeight="1" thickBot="1">
      <c r="H28" s="666" t="s">
        <v>364</v>
      </c>
      <c r="I28" s="667"/>
      <c r="J28" s="667"/>
      <c r="K28" s="668"/>
      <c r="N28" s="194">
        <f>J26/((ترازنامه!K35+ترازنامه!L35)/2)*100</f>
        <v>62.05851844887632</v>
      </c>
      <c r="O28" s="198" t="s">
        <v>373</v>
      </c>
    </row>
    <row r="29" spans="8:15" ht="63" customHeight="1" thickBot="1">
      <c r="H29" s="425"/>
      <c r="I29" s="426" t="s">
        <v>735</v>
      </c>
      <c r="J29" s="426" t="s">
        <v>735</v>
      </c>
      <c r="K29" s="427"/>
      <c r="N29" s="194">
        <f>J26/'یاداشت های سال قبل'!J115</f>
        <v>933.89507209459146</v>
      </c>
      <c r="O29" s="194" t="s">
        <v>374</v>
      </c>
    </row>
    <row r="30" spans="8:15" ht="31.5">
      <c r="H30" s="425"/>
      <c r="I30" s="381"/>
      <c r="J30" s="381">
        <f>ترازنامه!L32</f>
        <v>4781250000</v>
      </c>
      <c r="K30" s="432" t="s">
        <v>366</v>
      </c>
    </row>
    <row r="31" spans="8:15" ht="32.25" thickBot="1">
      <c r="H31" s="425"/>
      <c r="I31" s="381"/>
      <c r="J31" s="172"/>
      <c r="K31" s="432" t="s">
        <v>365</v>
      </c>
    </row>
    <row r="32" spans="8:15" ht="31.5">
      <c r="H32" s="425"/>
      <c r="I32" s="381">
        <f>J30+J31</f>
        <v>4781250000</v>
      </c>
      <c r="J32" s="381"/>
      <c r="K32" s="432" t="s">
        <v>367</v>
      </c>
    </row>
    <row r="33" spans="8:11" ht="26.25">
      <c r="H33" s="425"/>
      <c r="I33" s="381"/>
      <c r="J33" s="426"/>
      <c r="K33" s="428"/>
    </row>
    <row r="34" spans="8:11" ht="31.5">
      <c r="H34" s="425"/>
      <c r="I34" s="381"/>
      <c r="J34" s="381">
        <f>J26</f>
        <v>29491472481.675102</v>
      </c>
      <c r="K34" s="431" t="s">
        <v>368</v>
      </c>
    </row>
    <row r="35" spans="8:11" ht="31.5">
      <c r="H35" s="425"/>
      <c r="I35" s="381"/>
      <c r="J35" s="381">
        <f>IF(J26&gt;0,J26*5%,0)</f>
        <v>1474573624.0837553</v>
      </c>
      <c r="K35" s="431" t="s">
        <v>369</v>
      </c>
    </row>
    <row r="36" spans="8:11" ht="31.5">
      <c r="H36" s="425"/>
      <c r="I36" s="381"/>
      <c r="J36" s="381">
        <f>IF(J26&gt;0,J26*10%,0)</f>
        <v>2949147248.1675105</v>
      </c>
      <c r="K36" s="431" t="s">
        <v>382</v>
      </c>
    </row>
    <row r="37" spans="8:11" ht="32.25" thickBot="1">
      <c r="H37" s="425"/>
      <c r="I37" s="381"/>
      <c r="J37" s="172">
        <f>'گردش جریان وجه نقد'!D23</f>
        <v>0</v>
      </c>
      <c r="K37" s="431" t="s">
        <v>370</v>
      </c>
    </row>
    <row r="38" spans="8:11" ht="32.25" thickBot="1">
      <c r="H38" s="425"/>
      <c r="I38" s="172">
        <f>J34-J35-J36-J37</f>
        <v>25067751609.423836</v>
      </c>
      <c r="J38" s="381"/>
      <c r="K38" s="431" t="s">
        <v>409</v>
      </c>
    </row>
    <row r="39" spans="8:11" ht="32.25" thickBot="1">
      <c r="H39" s="425"/>
      <c r="I39" s="381">
        <f>'گردش جریان وجه نقد'!D22</f>
        <v>4781250000</v>
      </c>
      <c r="J39" s="381"/>
      <c r="K39" s="431" t="s">
        <v>412</v>
      </c>
    </row>
    <row r="40" spans="8:11" ht="32.25" thickBot="1">
      <c r="H40" s="425"/>
      <c r="I40" s="40">
        <f>I32+I38-I39</f>
        <v>25067751609.423836</v>
      </c>
      <c r="J40" s="381"/>
      <c r="K40" s="431" t="s">
        <v>371</v>
      </c>
    </row>
    <row r="41" spans="8:11" ht="27" thickTop="1">
      <c r="H41" s="425"/>
      <c r="I41" s="381"/>
      <c r="J41" s="381"/>
      <c r="K41" s="427"/>
    </row>
    <row r="42" spans="8:11" ht="27" thickBot="1">
      <c r="H42" s="429"/>
      <c r="I42" s="172"/>
      <c r="J42" s="172"/>
      <c r="K42" s="430"/>
    </row>
  </sheetData>
  <mergeCells count="9">
    <mergeCell ref="N19:O22"/>
    <mergeCell ref="N25:O25"/>
    <mergeCell ref="H28:K28"/>
    <mergeCell ref="H4:K4"/>
    <mergeCell ref="H3:K3"/>
    <mergeCell ref="L15:L16"/>
    <mergeCell ref="N3:O4"/>
    <mergeCell ref="N5:O11"/>
    <mergeCell ref="N14:O17"/>
  </mergeCells>
  <hyperlinks>
    <hyperlink ref="H3:K3" r:id="rId1" location="'فهرست مطالب'!A1" display="INCOME STATEMENT"/>
  </hyperlinks>
  <pageMargins left="0.7" right="0.7" top="0.75" bottom="0.75" header="0.3" footer="0.3"/>
  <pageSetup paperSize="9" orientation="portrait" r:id="rId2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J1:V40"/>
  <sheetViews>
    <sheetView topLeftCell="H1" zoomScale="50" zoomScaleNormal="50" workbookViewId="0">
      <selection activeCell="Q15" sqref="Q15"/>
    </sheetView>
  </sheetViews>
  <sheetFormatPr defaultColWidth="9.140625" defaultRowHeight="31.5"/>
  <cols>
    <col min="1" max="6" width="9.140625" style="347"/>
    <col min="7" max="7" width="9.140625" style="347" customWidth="1"/>
    <col min="8" max="8" width="32.5703125" style="347" bestFit="1" customWidth="1"/>
    <col min="9" max="10" width="9.140625" style="347"/>
    <col min="11" max="12" width="39.7109375" style="347" bestFit="1" customWidth="1"/>
    <col min="13" max="13" width="2.42578125" style="347" customWidth="1"/>
    <col min="14" max="14" width="14.28515625" style="347" bestFit="1" customWidth="1"/>
    <col min="15" max="15" width="57.28515625" style="348" bestFit="1" customWidth="1"/>
    <col min="16" max="16" width="1.7109375" style="348" customWidth="1"/>
    <col min="17" max="17" width="42.42578125" style="348" bestFit="1" customWidth="1"/>
    <col min="18" max="18" width="39.7109375" style="347" bestFit="1" customWidth="1"/>
    <col min="19" max="19" width="2.28515625" style="347" customWidth="1"/>
    <col min="20" max="20" width="14.28515625" style="347" bestFit="1" customWidth="1"/>
    <col min="21" max="21" width="56" style="349" bestFit="1" customWidth="1"/>
    <col min="22" max="22" width="14.140625" style="347" customWidth="1"/>
    <col min="23" max="16384" width="9.140625" style="347"/>
  </cols>
  <sheetData>
    <row r="1" spans="10:22" ht="32.25" thickBot="1">
      <c r="R1" s="347" t="s">
        <v>185</v>
      </c>
    </row>
    <row r="2" spans="10:22" ht="30.75" thickTop="1">
      <c r="J2" s="685" t="s">
        <v>172</v>
      </c>
      <c r="K2" s="686"/>
      <c r="L2" s="686"/>
      <c r="M2" s="686"/>
      <c r="N2" s="686"/>
      <c r="O2" s="686"/>
      <c r="P2" s="686"/>
      <c r="Q2" s="686"/>
      <c r="R2" s="686"/>
      <c r="S2" s="686"/>
      <c r="T2" s="686"/>
      <c r="U2" s="686"/>
      <c r="V2" s="687"/>
    </row>
    <row r="3" spans="10:22" ht="36">
      <c r="J3" s="505"/>
      <c r="K3" s="684" t="s">
        <v>736</v>
      </c>
      <c r="L3" s="684"/>
      <c r="M3" s="684"/>
      <c r="N3" s="684"/>
      <c r="O3" s="684"/>
      <c r="P3" s="684"/>
      <c r="Q3" s="684"/>
      <c r="R3" s="684"/>
      <c r="S3" s="684"/>
      <c r="T3" s="684"/>
      <c r="U3" s="684"/>
      <c r="V3" s="504"/>
    </row>
    <row r="4" spans="10:22" ht="30">
      <c r="J4" s="505"/>
      <c r="K4" s="506"/>
      <c r="L4" s="507"/>
      <c r="M4" s="507"/>
      <c r="N4" s="507"/>
      <c r="O4" s="507"/>
      <c r="P4" s="507"/>
      <c r="Q4" s="507"/>
      <c r="R4" s="507"/>
      <c r="S4" s="507"/>
      <c r="T4" s="507"/>
      <c r="U4" s="506"/>
      <c r="V4" s="504"/>
    </row>
    <row r="5" spans="10:22" ht="30">
      <c r="J5" s="508"/>
      <c r="K5" s="509" t="s">
        <v>236</v>
      </c>
      <c r="L5" s="510"/>
      <c r="M5" s="510"/>
      <c r="N5" s="510"/>
      <c r="O5" s="510"/>
      <c r="P5" s="510"/>
      <c r="Q5" s="509" t="s">
        <v>236</v>
      </c>
      <c r="R5" s="510"/>
      <c r="S5" s="510"/>
      <c r="T5" s="510"/>
      <c r="U5" s="509"/>
      <c r="V5" s="511"/>
    </row>
    <row r="6" spans="10:22" ht="32.25" thickBot="1">
      <c r="J6" s="508"/>
      <c r="K6" s="512" t="str">
        <f>Q6</f>
        <v>1397/12/29</v>
      </c>
      <c r="L6" s="513" t="str">
        <f>R6</f>
        <v>1396/12/29</v>
      </c>
      <c r="M6" s="509"/>
      <c r="N6" s="514" t="s">
        <v>184</v>
      </c>
      <c r="O6" s="515"/>
      <c r="P6" s="515"/>
      <c r="Q6" s="512" t="s">
        <v>735</v>
      </c>
      <c r="R6" s="513" t="s">
        <v>702</v>
      </c>
      <c r="S6" s="509"/>
      <c r="T6" s="514" t="s">
        <v>184</v>
      </c>
      <c r="U6" s="516"/>
      <c r="V6" s="511"/>
    </row>
    <row r="7" spans="10:22" ht="30.75" thickTop="1">
      <c r="J7" s="508"/>
      <c r="K7" s="509"/>
      <c r="L7" s="517"/>
      <c r="M7" s="517"/>
      <c r="N7" s="517"/>
      <c r="O7" s="515"/>
      <c r="P7" s="515"/>
      <c r="Q7" s="515"/>
      <c r="R7" s="509"/>
      <c r="S7" s="509"/>
      <c r="T7" s="509"/>
      <c r="U7" s="509"/>
      <c r="V7" s="511"/>
    </row>
    <row r="8" spans="10:22">
      <c r="J8" s="508"/>
      <c r="K8" s="509"/>
      <c r="L8" s="509"/>
      <c r="M8" s="509"/>
      <c r="N8" s="509"/>
      <c r="O8" s="518" t="s">
        <v>140</v>
      </c>
      <c r="P8" s="518"/>
      <c r="Q8" s="518"/>
      <c r="R8" s="509"/>
      <c r="S8" s="509"/>
      <c r="T8" s="509"/>
      <c r="U8" s="516" t="s">
        <v>141</v>
      </c>
      <c r="V8" s="511"/>
    </row>
    <row r="9" spans="10:22">
      <c r="J9" s="508"/>
      <c r="K9" s="346">
        <f>'جدول نقدینگی - خرید کل '!C23</f>
        <v>2162958500</v>
      </c>
      <c r="L9" s="346">
        <f>'یاداشت های سال قبل'!J69</f>
        <v>4649500000</v>
      </c>
      <c r="M9" s="509"/>
      <c r="N9" s="519">
        <v>17</v>
      </c>
      <c r="O9" s="525" t="s">
        <v>142</v>
      </c>
      <c r="P9" s="515"/>
      <c r="Q9" s="350">
        <f>'گردش جریان وجه نقد'!D33</f>
        <v>4028213498.6272593</v>
      </c>
      <c r="R9" s="346">
        <f>'یاداشت های سال قبل'!J13</f>
        <v>4820750000</v>
      </c>
      <c r="S9" s="346"/>
      <c r="T9" s="519">
        <v>4</v>
      </c>
      <c r="U9" s="520" t="s">
        <v>143</v>
      </c>
      <c r="V9" s="511"/>
    </row>
    <row r="10" spans="10:22">
      <c r="J10" s="508"/>
      <c r="K10" s="346"/>
      <c r="L10" s="346"/>
      <c r="M10" s="509"/>
      <c r="N10" s="519">
        <v>18</v>
      </c>
      <c r="O10" s="525" t="s">
        <v>144</v>
      </c>
      <c r="P10" s="515"/>
      <c r="Q10" s="350">
        <f>R10</f>
        <v>2500000000</v>
      </c>
      <c r="R10" s="346">
        <f>'یاداشت های سال قبل'!J22</f>
        <v>2500000000</v>
      </c>
      <c r="S10" s="346"/>
      <c r="T10" s="519">
        <v>5</v>
      </c>
      <c r="U10" s="521" t="s">
        <v>145</v>
      </c>
      <c r="V10" s="511"/>
    </row>
    <row r="11" spans="10:22">
      <c r="J11" s="508"/>
      <c r="K11" s="346"/>
      <c r="L11" s="346"/>
      <c r="M11" s="509"/>
      <c r="N11" s="519">
        <v>19</v>
      </c>
      <c r="O11" s="525" t="s">
        <v>146</v>
      </c>
      <c r="P11" s="515"/>
      <c r="Q11" s="350">
        <f>'فروش محصولات '!C26</f>
        <v>3072800000</v>
      </c>
      <c r="R11" s="346">
        <f>'یاداشت های سال قبل'!J32</f>
        <v>2000000000</v>
      </c>
      <c r="S11" s="346"/>
      <c r="T11" s="519">
        <v>6</v>
      </c>
      <c r="U11" s="520" t="s">
        <v>147</v>
      </c>
      <c r="V11" s="511"/>
    </row>
    <row r="12" spans="10:22" ht="30">
      <c r="J12" s="508"/>
      <c r="K12" s="346">
        <f>IF('سود و زیان '!J25&gt;0,'سود و زیان '!J25,0)</f>
        <v>9566601938.3361454</v>
      </c>
      <c r="L12" s="346">
        <f>'یاداشت های سال قبل'!J76</f>
        <v>1875000000</v>
      </c>
      <c r="M12" s="509"/>
      <c r="N12" s="519">
        <v>20</v>
      </c>
      <c r="O12" s="525" t="s">
        <v>148</v>
      </c>
      <c r="P12" s="515"/>
      <c r="Q12" s="350"/>
      <c r="R12" s="346"/>
      <c r="S12" s="346"/>
      <c r="T12" s="519">
        <v>7</v>
      </c>
      <c r="U12" s="522" t="s">
        <v>149</v>
      </c>
      <c r="V12" s="511"/>
    </row>
    <row r="13" spans="10:22" ht="30">
      <c r="J13" s="508"/>
      <c r="K13" s="346">
        <f>IF('سود و زیان '!J36&gt;0,'سود و زیان '!J36,0)</f>
        <v>2949147248.1675105</v>
      </c>
      <c r="L13" s="346">
        <f>'یاداشت های سال قبل'!J82</f>
        <v>562500000</v>
      </c>
      <c r="M13" s="509"/>
      <c r="N13" s="519">
        <v>21</v>
      </c>
      <c r="O13" s="525" t="s">
        <v>150</v>
      </c>
      <c r="P13" s="515"/>
      <c r="Q13" s="350">
        <f>R13</f>
        <v>750000000</v>
      </c>
      <c r="R13" s="346">
        <f>'یاداشت های سال قبل'!J40</f>
        <v>750000000</v>
      </c>
      <c r="S13" s="346"/>
      <c r="T13" s="519">
        <v>8</v>
      </c>
      <c r="U13" s="522" t="s">
        <v>725</v>
      </c>
      <c r="V13" s="511"/>
    </row>
    <row r="14" spans="10:22" ht="30">
      <c r="J14" s="508"/>
      <c r="K14" s="346">
        <f>L14+'گردش جریان وجه نقد'!D29-'گردش جریان وجه نقد'!D30</f>
        <v>5100000000.000001</v>
      </c>
      <c r="L14" s="346">
        <f>'یاداشت های سال قبل'!J88</f>
        <v>2600000000</v>
      </c>
      <c r="M14" s="509"/>
      <c r="N14" s="519">
        <v>22</v>
      </c>
      <c r="O14" s="525" t="s">
        <v>151</v>
      </c>
      <c r="P14" s="515"/>
      <c r="Q14" s="350">
        <f>'موجودی کالا'!K16</f>
        <v>8692529857.1297798</v>
      </c>
      <c r="R14" s="347">
        <f>'یاداشت های سال قبل'!J49</f>
        <v>4955000000</v>
      </c>
      <c r="S14" s="346"/>
      <c r="T14" s="519">
        <v>9</v>
      </c>
      <c r="U14" s="522" t="s">
        <v>152</v>
      </c>
      <c r="V14" s="511"/>
    </row>
    <row r="15" spans="10:22" ht="60">
      <c r="J15" s="508"/>
      <c r="K15" s="346"/>
      <c r="L15" s="346"/>
      <c r="M15" s="509"/>
      <c r="N15" s="519">
        <v>23</v>
      </c>
      <c r="O15" s="525" t="s">
        <v>718</v>
      </c>
      <c r="P15" s="515"/>
      <c r="Q15" s="350"/>
      <c r="S15" s="346"/>
      <c r="T15" s="519">
        <v>10</v>
      </c>
      <c r="U15" s="522" t="s">
        <v>717</v>
      </c>
      <c r="V15" s="511"/>
    </row>
    <row r="16" spans="10:22" ht="30">
      <c r="J16" s="508"/>
      <c r="K16" s="346"/>
      <c r="L16" s="346"/>
      <c r="M16" s="509"/>
      <c r="N16" s="519"/>
      <c r="O16" s="525"/>
      <c r="P16" s="515"/>
      <c r="Q16" s="350"/>
      <c r="S16" s="346"/>
      <c r="T16" s="519"/>
      <c r="U16" s="522"/>
      <c r="V16" s="511"/>
    </row>
    <row r="17" spans="10:22" ht="30.75" thickBot="1">
      <c r="J17" s="508"/>
      <c r="K17" s="509"/>
      <c r="L17" s="509"/>
      <c r="M17" s="509"/>
      <c r="N17" s="519"/>
      <c r="O17" s="515"/>
      <c r="P17" s="515"/>
      <c r="Q17" s="515"/>
      <c r="R17" s="509"/>
      <c r="S17" s="509"/>
      <c r="T17" s="519"/>
      <c r="U17" s="509"/>
      <c r="V17" s="511"/>
    </row>
    <row r="18" spans="10:22" ht="30.75" thickBot="1">
      <c r="J18" s="508"/>
      <c r="K18" s="527">
        <f>SUM(K9:K14)</f>
        <v>19778707686.503658</v>
      </c>
      <c r="L18" s="527">
        <f>SUM(L9:L14)</f>
        <v>9687000000</v>
      </c>
      <c r="M18" s="509"/>
      <c r="N18" s="519"/>
      <c r="O18" s="515" t="s">
        <v>153</v>
      </c>
      <c r="P18" s="515"/>
      <c r="Q18" s="527">
        <f>SUM(Q9:Q14)</f>
        <v>19043543355.757038</v>
      </c>
      <c r="R18" s="527">
        <f>SUM(R9:R14)</f>
        <v>15025750000</v>
      </c>
      <c r="S18" s="509"/>
      <c r="T18" s="519"/>
      <c r="U18" s="509" t="s">
        <v>154</v>
      </c>
      <c r="V18" s="511"/>
    </row>
    <row r="19" spans="10:22" ht="30">
      <c r="J19" s="508"/>
      <c r="K19" s="509"/>
      <c r="L19" s="528"/>
      <c r="M19" s="509"/>
      <c r="N19" s="519"/>
      <c r="O19" s="515"/>
      <c r="P19" s="515"/>
      <c r="Q19" s="515"/>
      <c r="R19" s="528"/>
      <c r="S19" s="509"/>
      <c r="T19" s="519"/>
      <c r="U19" s="509"/>
      <c r="V19" s="511"/>
    </row>
    <row r="20" spans="10:22" ht="30">
      <c r="J20" s="508"/>
      <c r="K20" s="509"/>
      <c r="L20" s="509"/>
      <c r="M20" s="509"/>
      <c r="N20" s="519"/>
      <c r="O20" s="525" t="s">
        <v>155</v>
      </c>
      <c r="P20" s="515"/>
      <c r="Q20" s="515"/>
      <c r="R20" s="509"/>
      <c r="S20" s="509"/>
      <c r="T20" s="519"/>
      <c r="U20" s="523" t="s">
        <v>156</v>
      </c>
      <c r="V20" s="511"/>
    </row>
    <row r="21" spans="10:22" ht="60">
      <c r="J21" s="508"/>
      <c r="K21" s="346"/>
      <c r="L21" s="346"/>
      <c r="M21" s="509"/>
      <c r="N21" s="519">
        <v>24</v>
      </c>
      <c r="O21" s="525" t="s">
        <v>157</v>
      </c>
      <c r="P21" s="515"/>
      <c r="Q21" s="350">
        <f>'جدول دارایی های ثابت مشهود '!I16</f>
        <v>62956461564.254196</v>
      </c>
      <c r="R21" s="346">
        <f>'جدول دارایی های ثابت مشهود '!J16</f>
        <v>45400000000</v>
      </c>
      <c r="S21" s="346"/>
      <c r="T21" s="519">
        <v>11</v>
      </c>
      <c r="U21" s="522" t="s">
        <v>158</v>
      </c>
      <c r="V21" s="511"/>
    </row>
    <row r="22" spans="10:22" ht="30">
      <c r="J22" s="508"/>
      <c r="K22" s="346">
        <f>L22-L14</f>
        <v>10400000000</v>
      </c>
      <c r="L22" s="346">
        <f>'یاداشت های سال قبل'!H88</f>
        <v>13000000000</v>
      </c>
      <c r="M22" s="509"/>
      <c r="N22" s="519">
        <v>25</v>
      </c>
      <c r="O22" s="525" t="s">
        <v>159</v>
      </c>
      <c r="P22" s="515"/>
      <c r="Q22" s="350">
        <f>R22</f>
        <v>679250000</v>
      </c>
      <c r="R22" s="346">
        <f>'یاداشت های سال قبل'!J63</f>
        <v>679250000</v>
      </c>
      <c r="S22" s="346"/>
      <c r="T22" s="519">
        <v>12</v>
      </c>
      <c r="U22" s="522" t="s">
        <v>160</v>
      </c>
      <c r="V22" s="511"/>
    </row>
    <row r="23" spans="10:22" ht="60">
      <c r="J23" s="508"/>
      <c r="K23" s="346">
        <f>L23+'دستمزد مستقیم'!C18+'هزینه اداری '!C14+'هزینه سربار تولیدی '!C14+'توزیع و فروش '!C14+'دستمزد پروژه '!C14</f>
        <v>4097972000</v>
      </c>
      <c r="L23" s="346">
        <f>'یاداشت های سال قبل'!J101</f>
        <v>1776500000</v>
      </c>
      <c r="M23" s="509"/>
      <c r="N23" s="519">
        <v>26</v>
      </c>
      <c r="O23" s="525" t="s">
        <v>161</v>
      </c>
      <c r="P23" s="515"/>
      <c r="Q23" s="350">
        <f>'گردش جریان وجه نقد'!D19</f>
        <v>10000000000</v>
      </c>
      <c r="R23" s="346"/>
      <c r="S23" s="346"/>
      <c r="T23" s="519">
        <v>13</v>
      </c>
      <c r="U23" s="522" t="s">
        <v>162</v>
      </c>
      <c r="V23" s="511"/>
    </row>
    <row r="24" spans="10:22" ht="30">
      <c r="J24" s="508"/>
      <c r="K24" s="509"/>
      <c r="L24" s="509"/>
      <c r="M24" s="509"/>
      <c r="N24" s="519"/>
      <c r="O24" s="515"/>
      <c r="P24" s="515"/>
      <c r="Q24" s="350"/>
      <c r="R24" s="346"/>
      <c r="S24" s="346"/>
      <c r="T24" s="519">
        <v>14</v>
      </c>
      <c r="U24" s="522" t="s">
        <v>163</v>
      </c>
      <c r="V24" s="511"/>
    </row>
    <row r="25" spans="10:22" ht="30">
      <c r="J25" s="508"/>
      <c r="K25" s="509"/>
      <c r="L25" s="509"/>
      <c r="M25" s="509"/>
      <c r="N25" s="519"/>
      <c r="O25" s="515"/>
      <c r="P25" s="515"/>
      <c r="Q25" s="350"/>
      <c r="R25" s="346"/>
      <c r="S25" s="346"/>
      <c r="T25" s="519">
        <v>15</v>
      </c>
      <c r="U25" s="522" t="s">
        <v>719</v>
      </c>
      <c r="V25" s="511"/>
    </row>
    <row r="26" spans="10:22" ht="30">
      <c r="J26" s="508"/>
      <c r="K26" s="509"/>
      <c r="L26" s="509"/>
      <c r="M26" s="509"/>
      <c r="N26" s="519"/>
      <c r="O26" s="515"/>
      <c r="P26" s="515"/>
      <c r="Q26" s="350"/>
      <c r="R26" s="346"/>
      <c r="S26" s="346"/>
      <c r="T26" s="519">
        <v>16</v>
      </c>
      <c r="U26" s="522" t="s">
        <v>720</v>
      </c>
      <c r="V26" s="511"/>
    </row>
    <row r="27" spans="10:22" ht="30.75" thickBot="1">
      <c r="J27" s="508"/>
      <c r="K27" s="509"/>
      <c r="L27" s="509"/>
      <c r="M27" s="509"/>
      <c r="N27" s="519"/>
      <c r="O27" s="515"/>
      <c r="P27" s="515"/>
      <c r="Q27" s="515"/>
      <c r="R27" s="509"/>
      <c r="S27" s="509"/>
      <c r="T27" s="509"/>
      <c r="U27" s="522"/>
      <c r="V27" s="511"/>
    </row>
    <row r="28" spans="10:22" ht="30.75" thickBot="1">
      <c r="J28" s="508"/>
      <c r="K28" s="527">
        <f>SUM(K21:K23)</f>
        <v>14497972000</v>
      </c>
      <c r="L28" s="527">
        <f>SUM(L21:L23)</f>
        <v>14776500000</v>
      </c>
      <c r="M28" s="509"/>
      <c r="N28" s="519"/>
      <c r="O28" s="515" t="s">
        <v>164</v>
      </c>
      <c r="P28" s="515"/>
      <c r="Q28" s="527">
        <f>SUM(Q21:Q24)</f>
        <v>73635711564.254196</v>
      </c>
      <c r="R28" s="527">
        <f>SUM(R21:R24)</f>
        <v>46079250000</v>
      </c>
      <c r="S28" s="509"/>
      <c r="T28" s="509"/>
      <c r="U28" s="509" t="s">
        <v>165</v>
      </c>
      <c r="V28" s="511"/>
    </row>
    <row r="29" spans="10:22" ht="30">
      <c r="J29" s="508"/>
      <c r="K29" s="509"/>
      <c r="L29" s="509"/>
      <c r="M29" s="509"/>
      <c r="N29" s="519"/>
      <c r="O29" s="515"/>
      <c r="P29" s="515"/>
      <c r="Q29" s="515"/>
      <c r="R29" s="528"/>
      <c r="S29" s="509"/>
      <c r="T29" s="509"/>
      <c r="U29" s="509"/>
      <c r="V29" s="511"/>
    </row>
    <row r="30" spans="10:22">
      <c r="J30" s="508"/>
      <c r="K30" s="509"/>
      <c r="L30" s="509"/>
      <c r="M30" s="509"/>
      <c r="N30" s="519"/>
      <c r="O30" s="518" t="s">
        <v>166</v>
      </c>
      <c r="P30" s="518"/>
      <c r="Q30" s="689"/>
      <c r="R30" s="689"/>
      <c r="S30" s="509"/>
      <c r="T30" s="509"/>
      <c r="U30" s="524"/>
      <c r="V30" s="511"/>
    </row>
    <row r="31" spans="10:22" ht="30">
      <c r="J31" s="508"/>
      <c r="K31" s="346">
        <f>L31</f>
        <v>31579000000</v>
      </c>
      <c r="L31" s="346">
        <f>'یاداشت های سال قبل'!J113</f>
        <v>31579000000</v>
      </c>
      <c r="M31" s="509"/>
      <c r="N31" s="519">
        <v>27</v>
      </c>
      <c r="O31" s="515" t="s">
        <v>167</v>
      </c>
      <c r="P31" s="515"/>
      <c r="Q31" s="688"/>
      <c r="R31" s="688"/>
      <c r="S31" s="509"/>
      <c r="T31" s="509"/>
      <c r="U31" s="509"/>
      <c r="V31" s="511"/>
    </row>
    <row r="32" spans="10:22" ht="30">
      <c r="J32" s="508"/>
      <c r="K32" s="371">
        <f>'سود و زیان '!I40</f>
        <v>25067751609.423836</v>
      </c>
      <c r="L32" s="346">
        <f>'یاداشت های سال قبل'!J121</f>
        <v>4781250000</v>
      </c>
      <c r="M32" s="509"/>
      <c r="N32" s="519">
        <v>28</v>
      </c>
      <c r="O32" s="515" t="s">
        <v>168</v>
      </c>
      <c r="P32" s="515"/>
      <c r="Q32" s="688"/>
      <c r="R32" s="688"/>
      <c r="S32" s="509"/>
      <c r="T32" s="509"/>
      <c r="U32" s="509"/>
      <c r="V32" s="511"/>
    </row>
    <row r="33" spans="10:22" ht="30">
      <c r="J33" s="508"/>
      <c r="K33" s="346">
        <f>L33+'سود و زیان '!J35</f>
        <v>1755823624.0837553</v>
      </c>
      <c r="L33" s="346">
        <f>'یاداشت های سال قبل'!J127</f>
        <v>281250000</v>
      </c>
      <c r="M33" s="509"/>
      <c r="N33" s="526">
        <v>29</v>
      </c>
      <c r="O33" s="515" t="s">
        <v>169</v>
      </c>
      <c r="P33" s="515"/>
      <c r="Q33" s="688"/>
      <c r="R33" s="688"/>
      <c r="S33" s="509"/>
      <c r="T33" s="509"/>
      <c r="U33" s="509"/>
      <c r="V33" s="511"/>
    </row>
    <row r="34" spans="10:22" ht="30.75" thickBot="1">
      <c r="J34" s="508"/>
      <c r="K34" s="346"/>
      <c r="L34" s="346"/>
      <c r="M34" s="509"/>
      <c r="N34" s="526">
        <v>30</v>
      </c>
      <c r="O34" s="515" t="s">
        <v>770</v>
      </c>
      <c r="P34" s="515"/>
      <c r="Q34" s="688"/>
      <c r="R34" s="688"/>
      <c r="S34" s="509"/>
      <c r="T34" s="509"/>
      <c r="U34" s="509"/>
      <c r="V34" s="511"/>
    </row>
    <row r="35" spans="10:22" ht="30">
      <c r="J35" s="508"/>
      <c r="K35" s="372">
        <f>SUM(K31:K33)</f>
        <v>58402575233.507591</v>
      </c>
      <c r="L35" s="351">
        <f>SUM(L31:L33)</f>
        <v>36641500000</v>
      </c>
      <c r="M35" s="509"/>
      <c r="N35" s="519"/>
      <c r="O35" s="515" t="s">
        <v>170</v>
      </c>
      <c r="P35" s="515"/>
      <c r="Q35" s="688"/>
      <c r="R35" s="688"/>
      <c r="S35" s="509"/>
      <c r="T35" s="509"/>
      <c r="U35" s="509"/>
      <c r="V35" s="511"/>
    </row>
    <row r="36" spans="10:22" ht="30.75" thickBot="1">
      <c r="J36" s="508"/>
      <c r="K36" s="509"/>
      <c r="L36" s="509"/>
      <c r="M36" s="509"/>
      <c r="N36" s="509"/>
      <c r="O36" s="515"/>
      <c r="P36" s="515"/>
      <c r="Q36" s="515"/>
      <c r="R36" s="509"/>
      <c r="S36" s="509"/>
      <c r="T36" s="509"/>
      <c r="U36" s="509"/>
      <c r="V36" s="511"/>
    </row>
    <row r="37" spans="10:22" ht="60.75" thickBot="1">
      <c r="J37" s="508"/>
      <c r="K37" s="529">
        <f>K35+K28+K18</f>
        <v>92679254920.011261</v>
      </c>
      <c r="L37" s="529">
        <f>L35+L28+L18</f>
        <v>61105000000</v>
      </c>
      <c r="M37" s="509"/>
      <c r="N37" s="509"/>
      <c r="O37" s="515" t="s">
        <v>339</v>
      </c>
      <c r="P37" s="515"/>
      <c r="Q37" s="529">
        <f>Q28+Q18</f>
        <v>92679254920.01123</v>
      </c>
      <c r="R37" s="529">
        <f>R28+R18</f>
        <v>61105000000</v>
      </c>
      <c r="S37" s="509"/>
      <c r="T37" s="509"/>
      <c r="U37" s="509" t="s">
        <v>171</v>
      </c>
      <c r="V37" s="511"/>
    </row>
    <row r="38" spans="10:22" ht="30.75" thickTop="1">
      <c r="J38" s="508"/>
      <c r="K38" s="509"/>
      <c r="L38" s="509"/>
      <c r="M38" s="509"/>
      <c r="N38" s="509"/>
      <c r="O38" s="515"/>
      <c r="P38" s="515"/>
      <c r="Q38" s="515"/>
      <c r="R38" s="509"/>
      <c r="S38" s="509"/>
      <c r="T38" s="509"/>
      <c r="U38" s="509"/>
      <c r="V38" s="511"/>
    </row>
    <row r="39" spans="10:22" ht="30">
      <c r="J39" s="508"/>
      <c r="K39" s="509">
        <f>R37-L37</f>
        <v>0</v>
      </c>
      <c r="L39" s="509" t="s">
        <v>716</v>
      </c>
      <c r="M39" s="509"/>
      <c r="N39" s="509"/>
      <c r="O39" s="515"/>
      <c r="P39" s="515"/>
      <c r="Q39" s="515"/>
      <c r="R39" s="509"/>
      <c r="S39" s="509"/>
      <c r="T39" s="509"/>
      <c r="U39" s="509"/>
      <c r="V39" s="511"/>
    </row>
    <row r="40" spans="10:22">
      <c r="J40" s="508"/>
      <c r="K40" s="509">
        <f>Q37-K37</f>
        <v>0</v>
      </c>
      <c r="L40" s="509" t="s">
        <v>737</v>
      </c>
      <c r="M40" s="509"/>
      <c r="N40" s="509"/>
      <c r="O40" s="515"/>
      <c r="P40" s="515"/>
      <c r="Q40" s="515"/>
      <c r="R40" s="509"/>
      <c r="S40" s="509"/>
      <c r="T40" s="509"/>
      <c r="U40" s="524"/>
      <c r="V40" s="511"/>
    </row>
  </sheetData>
  <mergeCells count="4">
    <mergeCell ref="K3:U3"/>
    <mergeCell ref="J2:V2"/>
    <mergeCell ref="Q31:R35"/>
    <mergeCell ref="Q30:R30"/>
  </mergeCells>
  <hyperlinks>
    <hyperlink ref="U9" location="Sheet3!A1" display="وجوه نقد "/>
    <hyperlink ref="K3:U3" r:id="rId1" location="'فهرست مطالب'!A1" display="ترازنامه در تاریخ 95/12/29 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2" orientation="landscape" horizontalDpi="300" verticalDpi="300" r:id="rId2"/>
</worksheet>
</file>

<file path=xl/worksheets/sheet15.xml><?xml version="1.0" encoding="utf-8"?>
<worksheet xmlns="http://schemas.openxmlformats.org/spreadsheetml/2006/main" xmlns:r="http://schemas.openxmlformats.org/officeDocument/2006/relationships">
  <dimension ref="D1:Y34"/>
  <sheetViews>
    <sheetView topLeftCell="N3" zoomScale="90" zoomScaleNormal="90" workbookViewId="0">
      <selection activeCell="Q9" sqref="Q9"/>
    </sheetView>
  </sheetViews>
  <sheetFormatPr defaultColWidth="9.140625" defaultRowHeight="23.25"/>
  <cols>
    <col min="1" max="3" width="9.140625" style="30"/>
    <col min="4" max="7" width="34.85546875" style="30" bestFit="1" customWidth="1"/>
    <col min="8" max="9" width="32.140625" style="30" bestFit="1" customWidth="1"/>
    <col min="10" max="12" width="33.7109375" style="30" bestFit="1" customWidth="1"/>
    <col min="13" max="13" width="32.140625" style="30" bestFit="1" customWidth="1"/>
    <col min="14" max="14" width="28.7109375" style="30" bestFit="1" customWidth="1"/>
    <col min="15" max="16" width="32.140625" style="30" bestFit="1" customWidth="1"/>
    <col min="17" max="17" width="95" style="30" bestFit="1" customWidth="1"/>
    <col min="18" max="23" width="9.140625" style="30"/>
    <col min="24" max="24" width="14.28515625" style="30" bestFit="1" customWidth="1"/>
    <col min="25" max="16384" width="9.140625" style="30"/>
  </cols>
  <sheetData>
    <row r="1" spans="4:17">
      <c r="D1" s="695" t="s">
        <v>739</v>
      </c>
      <c r="E1" s="695"/>
      <c r="F1" s="695"/>
      <c r="G1" s="695"/>
      <c r="H1" s="695"/>
      <c r="I1" s="695"/>
      <c r="J1" s="695"/>
      <c r="K1" s="695"/>
      <c r="L1" s="695"/>
      <c r="M1" s="695"/>
      <c r="N1" s="695"/>
      <c r="O1" s="695"/>
      <c r="P1" s="695"/>
      <c r="Q1" s="695"/>
    </row>
    <row r="2" spans="4:17">
      <c r="D2" s="695"/>
      <c r="E2" s="695"/>
      <c r="F2" s="695"/>
      <c r="G2" s="695"/>
      <c r="H2" s="695"/>
      <c r="I2" s="695"/>
      <c r="J2" s="695"/>
      <c r="K2" s="695"/>
      <c r="L2" s="695"/>
      <c r="M2" s="695"/>
      <c r="N2" s="695"/>
      <c r="O2" s="695"/>
      <c r="P2" s="695"/>
      <c r="Q2" s="695"/>
    </row>
    <row r="3" spans="4:17" ht="24" thickBot="1"/>
    <row r="4" spans="4:17" ht="24.75" thickTop="1" thickBot="1">
      <c r="D4" s="691" t="s">
        <v>740</v>
      </c>
      <c r="E4" s="690"/>
      <c r="F4" s="690"/>
      <c r="G4" s="690"/>
      <c r="H4" s="690"/>
      <c r="I4" s="690"/>
      <c r="J4" s="690"/>
      <c r="K4" s="690"/>
      <c r="L4" s="690"/>
      <c r="M4" s="690"/>
      <c r="N4" s="690"/>
      <c r="O4" s="690"/>
      <c r="P4" s="690"/>
      <c r="Q4" s="693" t="s">
        <v>173</v>
      </c>
    </row>
    <row r="5" spans="4:17" ht="24.75" thickTop="1" thickBot="1">
      <c r="D5" s="692"/>
      <c r="E5" s="383" t="s">
        <v>41</v>
      </c>
      <c r="F5" s="383" t="s">
        <v>10</v>
      </c>
      <c r="G5" s="383" t="s">
        <v>254</v>
      </c>
      <c r="H5" s="383" t="s">
        <v>8</v>
      </c>
      <c r="I5" s="383" t="s">
        <v>40</v>
      </c>
      <c r="J5" s="383" t="s">
        <v>6</v>
      </c>
      <c r="K5" s="383" t="s">
        <v>253</v>
      </c>
      <c r="L5" s="383" t="s">
        <v>4</v>
      </c>
      <c r="M5" s="383" t="s">
        <v>266</v>
      </c>
      <c r="N5" s="383" t="s">
        <v>2</v>
      </c>
      <c r="O5" s="383" t="s">
        <v>251</v>
      </c>
      <c r="P5" s="383" t="s">
        <v>250</v>
      </c>
      <c r="Q5" s="694"/>
    </row>
    <row r="6" spans="4:17" ht="45" customHeight="1" thickTop="1" thickBot="1">
      <c r="D6" s="31">
        <f>P6</f>
        <v>4820750000</v>
      </c>
      <c r="E6" s="31">
        <f t="shared" ref="E6:N6" si="0">F33</f>
        <v>10621724863.263714</v>
      </c>
      <c r="F6" s="31">
        <f t="shared" si="0"/>
        <v>4925553808.5548267</v>
      </c>
      <c r="G6" s="31">
        <f t="shared" si="0"/>
        <v>4329655776.0681591</v>
      </c>
      <c r="H6" s="31">
        <f t="shared" si="0"/>
        <v>5426098303.6754427</v>
      </c>
      <c r="I6" s="31">
        <f t="shared" si="0"/>
        <v>1621402282.2998872</v>
      </c>
      <c r="J6" s="31">
        <f t="shared" si="0"/>
        <v>358421544.81322008</v>
      </c>
      <c r="K6" s="31">
        <f t="shared" si="0"/>
        <v>6003747529.89217</v>
      </c>
      <c r="L6" s="31">
        <f t="shared" si="0"/>
        <v>9931460245.7282791</v>
      </c>
      <c r="M6" s="31">
        <f t="shared" si="0"/>
        <v>663858850.45327759</v>
      </c>
      <c r="N6" s="31">
        <f t="shared" si="0"/>
        <v>3088885993.0500031</v>
      </c>
      <c r="O6" s="31">
        <f>P33</f>
        <v>4598746797.7750015</v>
      </c>
      <c r="P6" s="31">
        <f>ترازنامه!R9</f>
        <v>4820750000</v>
      </c>
      <c r="Q6" s="44" t="s">
        <v>174</v>
      </c>
    </row>
    <row r="7" spans="4:17" ht="45" customHeight="1" thickTop="1" thickBot="1">
      <c r="D7" s="31">
        <f t="shared" ref="D7:D10" si="1">SUM(E7:P7)</f>
        <v>2000000000</v>
      </c>
      <c r="E7" s="31">
        <f>'اطاعات تفصیلی سال قبل'!J12</f>
        <v>0</v>
      </c>
      <c r="F7" s="31">
        <f>'اطاعات تفصیلی سال قبل'!K12</f>
        <v>0</v>
      </c>
      <c r="G7" s="31">
        <f>'اطاعات تفصیلی سال قبل'!L12</f>
        <v>0</v>
      </c>
      <c r="H7" s="31">
        <f>'اطاعات تفصیلی سال قبل'!M12</f>
        <v>30000000</v>
      </c>
      <c r="I7" s="31">
        <f>'اطاعات تفصیلی سال قبل'!N12</f>
        <v>0</v>
      </c>
      <c r="J7" s="31">
        <f>'اطاعات تفصیلی سال قبل'!O12</f>
        <v>30000000</v>
      </c>
      <c r="K7" s="31">
        <f>'اطاعات تفصیلی سال قبل'!P12</f>
        <v>40000000</v>
      </c>
      <c r="L7" s="31">
        <f>'اطاعات تفصیلی سال قبل'!Q12</f>
        <v>150000000</v>
      </c>
      <c r="M7" s="31">
        <f>'اطاعات تفصیلی سال قبل'!R12</f>
        <v>900000000</v>
      </c>
      <c r="N7" s="31">
        <f>'اطاعات تفصیلی سال قبل'!S12</f>
        <v>290000000</v>
      </c>
      <c r="O7" s="31">
        <f>'اطاعات تفصیلی سال قبل'!T12</f>
        <v>390000000</v>
      </c>
      <c r="P7" s="31">
        <f>'اطاعات تفصیلی سال قبل'!U12</f>
        <v>170000000</v>
      </c>
      <c r="Q7" s="382" t="s">
        <v>738</v>
      </c>
    </row>
    <row r="8" spans="4:17" ht="45" customHeight="1" thickTop="1" thickBot="1">
      <c r="D8" s="31">
        <f t="shared" si="1"/>
        <v>159004200000</v>
      </c>
      <c r="E8" s="31">
        <f>'فروش محصولات '!E26</f>
        <v>16132200000</v>
      </c>
      <c r="F8" s="31">
        <f>'فروش محصولات '!F26</f>
        <v>18893000000</v>
      </c>
      <c r="G8" s="31">
        <f>'فروش محصولات '!G26</f>
        <v>17333000000</v>
      </c>
      <c r="H8" s="31">
        <f>'فروش محصولات '!H26</f>
        <v>16085000000</v>
      </c>
      <c r="I8" s="31">
        <f>'فروش محصولات '!I26</f>
        <v>15441600000</v>
      </c>
      <c r="J8" s="31">
        <f>'فروش محصولات '!J26</f>
        <v>12575400000</v>
      </c>
      <c r="K8" s="31">
        <f>'فروش محصولات '!K26</f>
        <v>11260800000</v>
      </c>
      <c r="L8" s="31">
        <f>'فروش محصولات '!L26</f>
        <v>10684000000</v>
      </c>
      <c r="M8" s="31">
        <f>'فروش محصولات '!M26</f>
        <v>10684000000</v>
      </c>
      <c r="N8" s="31">
        <f>'فروش محصولات '!N26</f>
        <v>10684000000</v>
      </c>
      <c r="O8" s="31">
        <f>'فروش محصولات '!O26</f>
        <v>10684000000</v>
      </c>
      <c r="P8" s="31">
        <f>'فروش محصولات '!P26</f>
        <v>8547200000</v>
      </c>
      <c r="Q8" s="382" t="s">
        <v>825</v>
      </c>
    </row>
    <row r="9" spans="4:17" ht="45" customHeight="1" thickTop="1" thickBot="1">
      <c r="D9" s="31">
        <f t="shared" si="1"/>
        <v>0</v>
      </c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82" t="s">
        <v>688</v>
      </c>
    </row>
    <row r="10" spans="4:17" ht="45" customHeight="1" thickTop="1" thickBot="1">
      <c r="D10" s="31">
        <f t="shared" si="1"/>
        <v>791666666.66666663</v>
      </c>
      <c r="E10" s="31">
        <f t="shared" ref="E10:N10" si="2">F10</f>
        <v>197916666.66666666</v>
      </c>
      <c r="F10" s="31">
        <f>G10+G19*20%/12</f>
        <v>197916666.66666666</v>
      </c>
      <c r="G10" s="31">
        <f>H10+H19*20%/12</f>
        <v>114583333.33333333</v>
      </c>
      <c r="H10" s="31">
        <f t="shared" si="2"/>
        <v>31250000</v>
      </c>
      <c r="I10" s="31">
        <f t="shared" si="2"/>
        <v>31250000</v>
      </c>
      <c r="J10" s="31">
        <f t="shared" si="2"/>
        <v>31250000</v>
      </c>
      <c r="K10" s="31">
        <f t="shared" si="2"/>
        <v>31250000</v>
      </c>
      <c r="L10" s="31">
        <f t="shared" si="2"/>
        <v>31250000</v>
      </c>
      <c r="M10" s="31">
        <f t="shared" si="2"/>
        <v>31250000</v>
      </c>
      <c r="N10" s="31">
        <f t="shared" si="2"/>
        <v>31250000</v>
      </c>
      <c r="O10" s="31">
        <f>P10</f>
        <v>31250000</v>
      </c>
      <c r="P10" s="31">
        <f>'یاداشت های سال قبل'!J22*15%/12</f>
        <v>31250000</v>
      </c>
      <c r="Q10" s="44" t="s">
        <v>689</v>
      </c>
    </row>
    <row r="11" spans="4:17" ht="45" customHeight="1" thickTop="1" thickBot="1">
      <c r="D11" s="45">
        <f t="shared" ref="D11:O11" si="3">SUM(D6:D10)</f>
        <v>166616616666.66666</v>
      </c>
      <c r="E11" s="45">
        <f t="shared" si="3"/>
        <v>26951841529.930382</v>
      </c>
      <c r="F11" s="45">
        <f t="shared" si="3"/>
        <v>24016470475.221493</v>
      </c>
      <c r="G11" s="45">
        <f t="shared" si="3"/>
        <v>21777239109.401493</v>
      </c>
      <c r="H11" s="45">
        <f t="shared" si="3"/>
        <v>21572348303.675442</v>
      </c>
      <c r="I11" s="45">
        <f t="shared" si="3"/>
        <v>17094252282.299887</v>
      </c>
      <c r="J11" s="45">
        <f t="shared" si="3"/>
        <v>12995071544.813221</v>
      </c>
      <c r="K11" s="45">
        <f t="shared" si="3"/>
        <v>17335797529.89217</v>
      </c>
      <c r="L11" s="45">
        <f t="shared" si="3"/>
        <v>20796710245.728279</v>
      </c>
      <c r="M11" s="45">
        <f t="shared" si="3"/>
        <v>12279108850.453278</v>
      </c>
      <c r="N11" s="45">
        <f t="shared" si="3"/>
        <v>14094135993.050003</v>
      </c>
      <c r="O11" s="45">
        <f t="shared" si="3"/>
        <v>15703996797.775002</v>
      </c>
      <c r="P11" s="45">
        <f>SUM(P6:P10)</f>
        <v>13569200000</v>
      </c>
      <c r="Q11" s="384" t="s">
        <v>175</v>
      </c>
    </row>
    <row r="12" spans="4:17" ht="30" customHeight="1" thickTop="1" thickBot="1">
      <c r="D12" s="32">
        <f>SUM(E12:P12)</f>
        <v>40543902000</v>
      </c>
      <c r="E12" s="116">
        <f>'جدول نقدینگی - خرید کل '!E23</f>
        <v>4594808200</v>
      </c>
      <c r="F12" s="116">
        <f>'جدول نقدینگی - خرید کل '!F23</f>
        <v>4768230400</v>
      </c>
      <c r="G12" s="116">
        <f>'جدول نقدینگی - خرید کل '!G23</f>
        <v>4245281200.0000005</v>
      </c>
      <c r="H12" s="116">
        <f>'جدول نقدینگی - خرید کل '!H23</f>
        <v>3628441000</v>
      </c>
      <c r="I12" s="116">
        <f>'جدول نقدینگی - خرید کل '!I23</f>
        <v>4322682100</v>
      </c>
      <c r="J12" s="116">
        <f>'جدول نقدینگی - خرید کل '!J23</f>
        <v>4376359150</v>
      </c>
      <c r="K12" s="116">
        <f>'جدول نقدینگی - خرید کل '!K23</f>
        <v>3078313350</v>
      </c>
      <c r="L12" s="116">
        <f>'جدول نقدینگی - خرید کل '!L23</f>
        <v>2610191600</v>
      </c>
      <c r="M12" s="116">
        <f>'جدول نقدینگی - خرید کل '!M23</f>
        <v>2610191600</v>
      </c>
      <c r="N12" s="116">
        <f>'جدول نقدینگی - خرید کل '!N23</f>
        <v>2681161600</v>
      </c>
      <c r="O12" s="116">
        <f>'جدول نقدینگی - خرید کل '!O23</f>
        <v>2502153800</v>
      </c>
      <c r="P12" s="32">
        <f>'جدول نقدینگی - خرید کل '!P23</f>
        <v>1126088000</v>
      </c>
      <c r="Q12" s="44" t="s">
        <v>176</v>
      </c>
    </row>
    <row r="13" spans="4:17" ht="30" customHeight="1" thickTop="1" thickBot="1">
      <c r="D13" s="116">
        <f t="shared" ref="D13:D26" si="4">SUM(E13:P13)</f>
        <v>15427945930.650002</v>
      </c>
      <c r="E13" s="116">
        <f>'دستمزد مستقیم'!D20</f>
        <v>2660057157.4499993</v>
      </c>
      <c r="F13" s="116">
        <f>'دستمزد مستقیم'!E20</f>
        <v>1449702627.4499998</v>
      </c>
      <c r="G13" s="116">
        <f>'دستمزد مستقیم'!F20</f>
        <v>1449702627.4499998</v>
      </c>
      <c r="H13" s="116">
        <f>'دستمزد مستقیم'!G20</f>
        <v>1449702627.4499998</v>
      </c>
      <c r="I13" s="116">
        <f>'دستمزد مستقیم'!H20</f>
        <v>1449702627.4499998</v>
      </c>
      <c r="J13" s="116">
        <f>'دستمزد مستقیم'!I20</f>
        <v>1449702627.4499998</v>
      </c>
      <c r="K13" s="116">
        <f>'دستمزد مستقیم'!J20</f>
        <v>1480808097.4499998</v>
      </c>
      <c r="L13" s="116">
        <f>'دستمزد مستقیم'!K20</f>
        <v>807713507.69999981</v>
      </c>
      <c r="M13" s="116">
        <f>'دستمزد مستقیم'!L20</f>
        <v>807713507.69999981</v>
      </c>
      <c r="N13" s="116">
        <f>'دستمزد مستقیم'!M20</f>
        <v>807713507.69999981</v>
      </c>
      <c r="O13" s="116">
        <f>'دستمزد مستقیم'!N20</f>
        <v>807713507.69999981</v>
      </c>
      <c r="P13" s="32">
        <f>'دستمزد مستقیم'!O20</f>
        <v>807713507.69999981</v>
      </c>
      <c r="Q13" s="44" t="s">
        <v>177</v>
      </c>
    </row>
    <row r="14" spans="4:17" ht="30" customHeight="1" thickTop="1" thickBot="1">
      <c r="D14" s="116">
        <f t="shared" si="4"/>
        <v>10317459340.549999</v>
      </c>
      <c r="E14" s="116">
        <f>'هزینه سربار تولیدی '!D33</f>
        <v>1515031242.8749998</v>
      </c>
      <c r="F14" s="116">
        <f>'هزینه سربار تولیدی '!E33</f>
        <v>845353442.875</v>
      </c>
      <c r="G14" s="116">
        <f>'هزینه سربار تولیدی '!F33</f>
        <v>845353442.875</v>
      </c>
      <c r="H14" s="116">
        <f>'هزینه سربار تولیدی '!G33</f>
        <v>840353442.875</v>
      </c>
      <c r="I14" s="116">
        <f>'هزینه سربار تولیدی '!H33</f>
        <v>840353442.875</v>
      </c>
      <c r="J14" s="116">
        <f>'هزینه سربار تولیدی '!I33</f>
        <v>835353442.875</v>
      </c>
      <c r="K14" s="116">
        <f>'هزینه سربار تولیدی '!J33</f>
        <v>815777642.875</v>
      </c>
      <c r="L14" s="116">
        <f>'هزینه سربار تولیدی '!K33</f>
        <v>665591008.58500004</v>
      </c>
      <c r="M14" s="116">
        <f>'هزینه سربار تولیدی '!L33</f>
        <v>665591008.58500004</v>
      </c>
      <c r="N14" s="116">
        <f>'هزینه سربار تولیدی '!M33</f>
        <v>665591008.58500004</v>
      </c>
      <c r="O14" s="116">
        <f>'هزینه سربار تولیدی '!N33</f>
        <v>665591008.58500004</v>
      </c>
      <c r="P14" s="32">
        <f>'هزینه سربار تولیدی '!O33</f>
        <v>1117519206.085</v>
      </c>
      <c r="Q14" s="44" t="s">
        <v>375</v>
      </c>
    </row>
    <row r="15" spans="4:17" ht="30" customHeight="1" thickTop="1" thickBot="1">
      <c r="D15" s="116">
        <f t="shared" si="4"/>
        <v>13484694699.162506</v>
      </c>
      <c r="E15" s="116">
        <f>'هزینه اداری '!D32</f>
        <v>2586137101.8625002</v>
      </c>
      <c r="F15" s="116">
        <f>'هزینه اداری '!E32</f>
        <v>966558254.29999995</v>
      </c>
      <c r="G15" s="116">
        <f>'هزینه اداری '!F32</f>
        <v>966558254.29999995</v>
      </c>
      <c r="H15" s="116">
        <f>'هزینه اداری '!G32</f>
        <v>966558254.29999995</v>
      </c>
      <c r="I15" s="116">
        <f>'هزینه اداری '!H32</f>
        <v>966558254.29999995</v>
      </c>
      <c r="J15" s="116">
        <f>'هزینه اداری '!I32</f>
        <v>966558254.29999995</v>
      </c>
      <c r="K15" s="116">
        <f>'هزینه اداری '!J32</f>
        <v>966763054.30000031</v>
      </c>
      <c r="L15" s="116">
        <f>'هزینه اداری '!K32</f>
        <v>966763054.30000031</v>
      </c>
      <c r="M15" s="116">
        <f>'هزینه اداری '!L32</f>
        <v>1033060054.3000003</v>
      </c>
      <c r="N15" s="116">
        <f>'هزینه اداری '!M32</f>
        <v>1033060054.3000003</v>
      </c>
      <c r="O15" s="116">
        <f>'هزینه اداری '!N32</f>
        <v>1033060054.3000003</v>
      </c>
      <c r="P15" s="32">
        <f>'هزینه اداری '!O32</f>
        <v>1033060054.3000003</v>
      </c>
      <c r="Q15" s="44" t="s">
        <v>376</v>
      </c>
    </row>
    <row r="16" spans="4:17" ht="30" customHeight="1" thickTop="1" thickBot="1">
      <c r="D16" s="116">
        <f t="shared" si="4"/>
        <v>33147877770.819992</v>
      </c>
      <c r="E16" s="116">
        <f>'توزیع و فروش '!D34</f>
        <v>3869311011.6599998</v>
      </c>
      <c r="F16" s="116">
        <f>'توزیع و فروش '!E34</f>
        <v>4319953802.6599998</v>
      </c>
      <c r="G16" s="116">
        <f>'توزیع و فروش '!F34</f>
        <v>3285953802.6599998</v>
      </c>
      <c r="H16" s="116">
        <f>'توزیع و فروش '!G34</f>
        <v>3098753802.6599998</v>
      </c>
      <c r="I16" s="116">
        <f>'توزیع و فروش '!H34</f>
        <v>3002243802.6599998</v>
      </c>
      <c r="J16" s="116">
        <f>'توزیع و فروش '!I34</f>
        <v>2645193147.6599998</v>
      </c>
      <c r="K16" s="116">
        <f>'توزیع و فروش '!J34</f>
        <v>2391781938.6599998</v>
      </c>
      <c r="L16" s="116">
        <f>'توزیع و فروش '!K34</f>
        <v>2071041292.4400001</v>
      </c>
      <c r="M16" s="116">
        <f>'توزیع و فروش '!L34</f>
        <v>2071041292.4400001</v>
      </c>
      <c r="N16" s="116">
        <f>'توزیع و فروش '!M34</f>
        <v>2071041292.4400001</v>
      </c>
      <c r="O16" s="116">
        <f>'توزیع و فروش '!N34</f>
        <v>2571041292.4399996</v>
      </c>
      <c r="P16" s="32">
        <f>'توزیع و فروش '!O34</f>
        <v>1750521292.4400001</v>
      </c>
      <c r="Q16" s="44" t="s">
        <v>377</v>
      </c>
    </row>
    <row r="17" spans="4:25" ht="30" customHeight="1" thickTop="1" thickBot="1">
      <c r="D17" s="116">
        <f t="shared" si="4"/>
        <v>24553639275.370003</v>
      </c>
      <c r="E17" s="116">
        <f>'دستمزد پروژه '!D53</f>
        <v>279485890.69499999</v>
      </c>
      <c r="F17" s="116">
        <f>'دستمزد پروژه '!E53</f>
        <v>142169306.89499998</v>
      </c>
      <c r="G17" s="116">
        <f>'دستمزد پروژه '!F53</f>
        <v>142169306.89499998</v>
      </c>
      <c r="H17" s="116">
        <f>'دستمزد پروژه '!G53</f>
        <v>142169306.89499998</v>
      </c>
      <c r="I17" s="116">
        <f>'دستمزد پروژه '!H53</f>
        <v>142169306.89499998</v>
      </c>
      <c r="J17" s="116">
        <f>'دستمزد پروژه '!I53</f>
        <v>142169306.89499998</v>
      </c>
      <c r="K17" s="116">
        <f>'دستمزد پروژه '!J53</f>
        <v>5785551141.6999998</v>
      </c>
      <c r="L17" s="116">
        <f>'دستمزد پروژه '!K53</f>
        <v>6285551141.6999998</v>
      </c>
      <c r="M17" s="116">
        <f>'دستمزد پروژه '!L53</f>
        <v>1885551141.6999998</v>
      </c>
      <c r="N17" s="116">
        <f>'دستمزد پروژه '!M53</f>
        <v>4385551141.6999998</v>
      </c>
      <c r="O17" s="116">
        <f>'دستمزد پروژه '!N53</f>
        <v>3735551141.6999998</v>
      </c>
      <c r="P17" s="32">
        <f>'دستمزد پروژه '!O53</f>
        <v>1485551141.6999998</v>
      </c>
      <c r="Q17" s="382" t="s">
        <v>178</v>
      </c>
    </row>
    <row r="18" spans="4:25" ht="30" customHeight="1" thickTop="1" thickBot="1">
      <c r="D18" s="116">
        <f t="shared" si="4"/>
        <v>0</v>
      </c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82" t="s">
        <v>282</v>
      </c>
    </row>
    <row r="19" spans="4:25" ht="30" customHeight="1" thickTop="1" thickBot="1">
      <c r="D19" s="116">
        <f t="shared" si="4"/>
        <v>10000000000</v>
      </c>
      <c r="E19" s="116"/>
      <c r="F19" s="116"/>
      <c r="G19" s="116">
        <v>5000000000</v>
      </c>
      <c r="H19" s="116">
        <v>5000000000</v>
      </c>
      <c r="I19" s="116"/>
      <c r="J19" s="116"/>
      <c r="K19" s="116"/>
      <c r="L19" s="116"/>
      <c r="M19" s="116"/>
      <c r="N19" s="116"/>
      <c r="O19" s="116"/>
      <c r="P19" s="32"/>
      <c r="Q19" s="382" t="s">
        <v>162</v>
      </c>
    </row>
    <row r="20" spans="4:25" ht="30" customHeight="1" thickTop="1" thickBot="1">
      <c r="D20" s="116">
        <f t="shared" si="4"/>
        <v>4649500000</v>
      </c>
      <c r="E20" s="47">
        <f>'اطاعات تفصیلی سال قبل'!J67</f>
        <v>0</v>
      </c>
      <c r="F20" s="47">
        <f>'اطاعات تفصیلی سال قبل'!K67</f>
        <v>0</v>
      </c>
      <c r="G20" s="47">
        <f>'اطاعات تفصیلی سال قبل'!L67</f>
        <v>0</v>
      </c>
      <c r="H20" s="47">
        <f>'اطاعات تفصیلی سال قبل'!M67</f>
        <v>0</v>
      </c>
      <c r="I20" s="47">
        <f>'اطاعات تفصیلی سال قبل'!N67</f>
        <v>0</v>
      </c>
      <c r="J20" s="47">
        <f>'اطاعات تفصیلی سال قبل'!O67</f>
        <v>0</v>
      </c>
      <c r="K20" s="47">
        <f>'اطاعات تفصیلی سال قبل'!P67</f>
        <v>300000000</v>
      </c>
      <c r="L20" s="47">
        <f>'اطاعات تفصیلی سال قبل'!Q67</f>
        <v>400000000</v>
      </c>
      <c r="M20" s="47">
        <f>'اطاعات تفصیلی سال قبل'!R67</f>
        <v>399500000</v>
      </c>
      <c r="N20" s="47">
        <f>'اطاعات تفصیلی سال قبل'!S67</f>
        <v>600000000</v>
      </c>
      <c r="O20" s="47">
        <f>'اطاعات تفصیلی سال قبل'!T67</f>
        <v>1300000000</v>
      </c>
      <c r="P20" s="47">
        <f>'اطاعات تفصیلی سال قبل'!U67</f>
        <v>1650000000</v>
      </c>
      <c r="Q20" s="44" t="s">
        <v>233</v>
      </c>
    </row>
    <row r="21" spans="4:25" ht="30" customHeight="1" thickTop="1" thickBot="1">
      <c r="D21" s="116">
        <f t="shared" si="4"/>
        <v>562500000</v>
      </c>
      <c r="E21" s="33">
        <f>ترازنامه!L13</f>
        <v>562500000</v>
      </c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44" t="s">
        <v>410</v>
      </c>
    </row>
    <row r="22" spans="4:25" ht="30" customHeight="1" thickTop="1" thickBot="1">
      <c r="D22" s="116">
        <f t="shared" si="4"/>
        <v>4781250000</v>
      </c>
      <c r="E22" s="33">
        <f>ترازنامه!L32</f>
        <v>4781250000</v>
      </c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44" t="s">
        <v>411</v>
      </c>
    </row>
    <row r="23" spans="4:25" ht="30" customHeight="1" thickTop="1" thickBot="1">
      <c r="D23" s="116">
        <f t="shared" si="4"/>
        <v>0</v>
      </c>
      <c r="E23" s="33"/>
      <c r="F23" s="116"/>
      <c r="G23" s="116"/>
      <c r="H23" s="116"/>
      <c r="I23" s="116"/>
      <c r="J23" s="116"/>
      <c r="K23" s="116"/>
      <c r="L23" s="116"/>
      <c r="M23" s="116"/>
      <c r="N23" s="116"/>
      <c r="O23" s="116"/>
      <c r="P23" s="116"/>
      <c r="Q23" s="44" t="s">
        <v>821</v>
      </c>
    </row>
    <row r="24" spans="4:25" ht="30" customHeight="1" thickTop="1" thickBot="1">
      <c r="D24" s="116">
        <f t="shared" si="4"/>
        <v>2600000000</v>
      </c>
      <c r="E24" s="33">
        <f>H24</f>
        <v>650000000</v>
      </c>
      <c r="F24" s="32"/>
      <c r="G24" s="32"/>
      <c r="H24" s="32">
        <f>K24</f>
        <v>650000000</v>
      </c>
      <c r="I24" s="32"/>
      <c r="J24" s="32"/>
      <c r="K24" s="32">
        <f>N24</f>
        <v>650000000</v>
      </c>
      <c r="L24" s="32"/>
      <c r="M24" s="32"/>
      <c r="N24" s="32">
        <f>'یاداشت های سال قبل'!L92</f>
        <v>650000000</v>
      </c>
      <c r="O24" s="32"/>
      <c r="P24" s="32"/>
      <c r="Q24" s="44" t="s">
        <v>279</v>
      </c>
    </row>
    <row r="25" spans="4:25" ht="33" thickTop="1" thickBot="1">
      <c r="D25" s="116">
        <f t="shared" si="4"/>
        <v>2144634151.486907</v>
      </c>
      <c r="E25" s="33">
        <f>H25</f>
        <v>536158537.87172675</v>
      </c>
      <c r="F25" s="116"/>
      <c r="G25" s="116"/>
      <c r="H25" s="116">
        <f>K25</f>
        <v>536158537.87172675</v>
      </c>
      <c r="I25" s="116"/>
      <c r="J25" s="116"/>
      <c r="K25" s="116">
        <f>N25</f>
        <v>536158537.87172675</v>
      </c>
      <c r="L25" s="116"/>
      <c r="M25" s="116"/>
      <c r="N25" s="116">
        <f>'یاداشت های سال قبل'!L93</f>
        <v>536158537.87172675</v>
      </c>
      <c r="O25" s="32"/>
      <c r="P25" s="32"/>
      <c r="Q25" s="44" t="s">
        <v>280</v>
      </c>
    </row>
    <row r="26" spans="4:25" ht="30" customHeight="1" thickTop="1" thickBot="1">
      <c r="D26" s="116">
        <f t="shared" si="4"/>
        <v>1875000000</v>
      </c>
      <c r="E26" s="33"/>
      <c r="F26" s="32"/>
      <c r="G26" s="32"/>
      <c r="H26" s="32"/>
      <c r="I26" s="32"/>
      <c r="J26" s="32"/>
      <c r="K26" s="32"/>
      <c r="L26" s="32"/>
      <c r="M26" s="116">
        <f>ترازنامه!L12</f>
        <v>1875000000</v>
      </c>
      <c r="N26" s="32"/>
      <c r="O26" s="32"/>
      <c r="P26" s="32"/>
      <c r="Q26" s="44" t="s">
        <v>378</v>
      </c>
      <c r="X26" s="696"/>
      <c r="Y26" s="696"/>
    </row>
    <row r="27" spans="4:25" ht="30" customHeight="1" thickTop="1" thickBot="1">
      <c r="D27" s="199">
        <f t="shared" ref="D27:O27" si="5">SUM(D12:D26)</f>
        <v>164088403168.0394</v>
      </c>
      <c r="E27" s="199">
        <f t="shared" si="5"/>
        <v>22034739142.414227</v>
      </c>
      <c r="F27" s="199">
        <f t="shared" si="5"/>
        <v>12491967834.18</v>
      </c>
      <c r="G27" s="199">
        <f t="shared" si="5"/>
        <v>15935018634.18</v>
      </c>
      <c r="H27" s="199">
        <f t="shared" si="5"/>
        <v>16312136972.051727</v>
      </c>
      <c r="I27" s="199">
        <f t="shared" si="5"/>
        <v>10723709534.18</v>
      </c>
      <c r="J27" s="199">
        <f t="shared" si="5"/>
        <v>10415335929.18</v>
      </c>
      <c r="K27" s="199">
        <f t="shared" si="5"/>
        <v>16005153762.856728</v>
      </c>
      <c r="L27" s="199">
        <f t="shared" si="5"/>
        <v>13806851604.724998</v>
      </c>
      <c r="M27" s="199">
        <f t="shared" si="5"/>
        <v>11347648604.724998</v>
      </c>
      <c r="N27" s="199">
        <f t="shared" si="5"/>
        <v>13430277142.596725</v>
      </c>
      <c r="O27" s="199">
        <f t="shared" si="5"/>
        <v>12615110804.724998</v>
      </c>
      <c r="P27" s="199">
        <f>SUM(P12:P26)</f>
        <v>8970453202.2249985</v>
      </c>
      <c r="Q27" s="385" t="s">
        <v>179</v>
      </c>
    </row>
    <row r="28" spans="4:25" ht="30" customHeight="1" thickTop="1" thickBot="1">
      <c r="D28" s="386">
        <f t="shared" ref="D28:O28" si="6">D11-D27</f>
        <v>2528213498.6272583</v>
      </c>
      <c r="E28" s="386">
        <f t="shared" si="6"/>
        <v>4917102387.5161552</v>
      </c>
      <c r="F28" s="386">
        <f t="shared" si="6"/>
        <v>11524502641.041492</v>
      </c>
      <c r="G28" s="386">
        <f t="shared" si="6"/>
        <v>5842220475.2214928</v>
      </c>
      <c r="H28" s="386">
        <f t="shared" si="6"/>
        <v>5260211331.6237144</v>
      </c>
      <c r="I28" s="386">
        <f t="shared" si="6"/>
        <v>6370542748.1198864</v>
      </c>
      <c r="J28" s="386">
        <f t="shared" si="6"/>
        <v>2579735615.6332207</v>
      </c>
      <c r="K28" s="386">
        <f t="shared" si="6"/>
        <v>1330643767.0354424</v>
      </c>
      <c r="L28" s="386">
        <f t="shared" si="6"/>
        <v>6989858641.0032806</v>
      </c>
      <c r="M28" s="386">
        <f t="shared" si="6"/>
        <v>931460245.72827911</v>
      </c>
      <c r="N28" s="386">
        <f t="shared" si="6"/>
        <v>663858850.45327759</v>
      </c>
      <c r="O28" s="386">
        <f t="shared" si="6"/>
        <v>3088885993.0500031</v>
      </c>
      <c r="P28" s="386">
        <f>P11-P27</f>
        <v>4598746797.7750015</v>
      </c>
      <c r="Q28" s="387" t="s">
        <v>690</v>
      </c>
    </row>
    <row r="29" spans="4:25" ht="30" customHeight="1" thickTop="1" thickBot="1">
      <c r="D29" s="388">
        <f>SUM(E29:P29)</f>
        <v>10000000000</v>
      </c>
      <c r="E29" s="388">
        <f>IF('وام '!Q6=12,'وام '!P4,0)</f>
        <v>0</v>
      </c>
      <c r="F29" s="388">
        <f>IF('وام '!Q6=11,'وام '!P4,0)</f>
        <v>0</v>
      </c>
      <c r="G29" s="388">
        <f>IF('وام '!Q6=10,'وام '!P4,0)</f>
        <v>0</v>
      </c>
      <c r="H29" s="388">
        <f>IF('وام '!Q6=9,'وام '!P4,0)</f>
        <v>0</v>
      </c>
      <c r="I29" s="388">
        <f>IF('وام '!Q6=8,'وام '!P4,0)</f>
        <v>0</v>
      </c>
      <c r="J29" s="388">
        <f>IF('وام '!Q6=7,'وام '!P4,0)</f>
        <v>0</v>
      </c>
      <c r="K29" s="388">
        <f>IF('وام '!Q6=6,'وام '!P4,0)</f>
        <v>0</v>
      </c>
      <c r="L29" s="388">
        <f>IF('وام '!Q6=5,'وام '!P4,0)</f>
        <v>0</v>
      </c>
      <c r="M29" s="388">
        <f>IF('وام '!Q6=4,'وام '!P4,0)</f>
        <v>10000000000</v>
      </c>
      <c r="N29" s="388">
        <f>IF('وام '!Q6=3,'وام '!P4,0)</f>
        <v>0</v>
      </c>
      <c r="O29" s="388">
        <f>IF('وام '!Q6=2,'وام '!P4,0)</f>
        <v>0</v>
      </c>
      <c r="P29" s="388">
        <f>IF('وام '!Q6=1,'وام '!P4,0)</f>
        <v>0</v>
      </c>
      <c r="Q29" s="44" t="s">
        <v>180</v>
      </c>
      <c r="X29" s="117"/>
    </row>
    <row r="30" spans="4:25" ht="30" customHeight="1" thickTop="1" thickBot="1">
      <c r="D30" s="388">
        <f t="shared" ref="D30:D32" si="7">SUM(E30:P30)</f>
        <v>7499999999.999999</v>
      </c>
      <c r="E30" s="388">
        <f>'وام '!B77</f>
        <v>833333333.33333337</v>
      </c>
      <c r="F30" s="388">
        <f>'وام '!C77</f>
        <v>833333333.33333337</v>
      </c>
      <c r="G30" s="388">
        <f>'وام '!D77</f>
        <v>833333333.33333337</v>
      </c>
      <c r="H30" s="388">
        <f>'وام '!E77</f>
        <v>833333333.33333337</v>
      </c>
      <c r="I30" s="388">
        <f>'وام '!F77</f>
        <v>833333333.33333337</v>
      </c>
      <c r="J30" s="388">
        <f>'وام '!G77</f>
        <v>833333333.33333337</v>
      </c>
      <c r="K30" s="388">
        <f>'وام '!H77</f>
        <v>833333333.33333337</v>
      </c>
      <c r="L30" s="388">
        <f>'وام '!I77</f>
        <v>833333333.33333337</v>
      </c>
      <c r="M30" s="388">
        <f>'وام '!J77</f>
        <v>833333333.33333337</v>
      </c>
      <c r="N30" s="388">
        <f>'وام '!K77</f>
        <v>0</v>
      </c>
      <c r="O30" s="388">
        <f>'وام '!L77</f>
        <v>0</v>
      </c>
      <c r="P30" s="388">
        <f>'وام '!M77</f>
        <v>0</v>
      </c>
      <c r="Q30" s="44" t="s">
        <v>181</v>
      </c>
    </row>
    <row r="31" spans="4:25" ht="30" customHeight="1" thickTop="1" thickBot="1">
      <c r="D31" s="388">
        <f t="shared" si="7"/>
        <v>1000000000</v>
      </c>
      <c r="E31" s="388">
        <f>'وام '!B78</f>
        <v>55555555.555555575</v>
      </c>
      <c r="F31" s="388">
        <f>'وام '!C78</f>
        <v>69444444.444444463</v>
      </c>
      <c r="G31" s="388">
        <f>'وام '!D78</f>
        <v>83333333.333333358</v>
      </c>
      <c r="H31" s="388">
        <f>'وام '!E78</f>
        <v>97222222.222222224</v>
      </c>
      <c r="I31" s="388">
        <f>'وام '!F78</f>
        <v>111111111.11111112</v>
      </c>
      <c r="J31" s="388">
        <f>'وام '!G78</f>
        <v>125000000</v>
      </c>
      <c r="K31" s="388">
        <f>'وام '!H78</f>
        <v>138888888.8888889</v>
      </c>
      <c r="L31" s="388">
        <f>'وام '!I78</f>
        <v>152777777.77777776</v>
      </c>
      <c r="M31" s="388">
        <f>'وام '!J78</f>
        <v>166666666.66666666</v>
      </c>
      <c r="N31" s="388">
        <f>'وام '!K78</f>
        <v>0</v>
      </c>
      <c r="O31" s="388">
        <f>'وام '!L78</f>
        <v>0</v>
      </c>
      <c r="P31" s="388">
        <f>'وام '!M78</f>
        <v>0</v>
      </c>
      <c r="Q31" s="44" t="s">
        <v>281</v>
      </c>
    </row>
    <row r="32" spans="4:25" ht="30" customHeight="1" thickTop="1" thickBot="1">
      <c r="D32" s="388">
        <f t="shared" si="7"/>
        <v>0</v>
      </c>
      <c r="E32" s="388"/>
      <c r="F32" s="388"/>
      <c r="G32" s="388"/>
      <c r="H32" s="388"/>
      <c r="I32" s="388"/>
      <c r="J32" s="388"/>
      <c r="K32" s="388"/>
      <c r="L32" s="388"/>
      <c r="M32" s="388"/>
      <c r="N32" s="388"/>
      <c r="O32" s="388"/>
      <c r="P32" s="388"/>
      <c r="Q32" s="44" t="s">
        <v>283</v>
      </c>
    </row>
    <row r="33" spans="4:17" ht="54.75" customHeight="1" thickTop="1" thickBot="1">
      <c r="D33" s="37">
        <f t="shared" ref="D33:O33" si="8">D28+D29-D30-D31+D32</f>
        <v>4028213498.6272593</v>
      </c>
      <c r="E33" s="37">
        <f t="shared" si="8"/>
        <v>4028213498.6272664</v>
      </c>
      <c r="F33" s="37">
        <f t="shared" si="8"/>
        <v>10621724863.263714</v>
      </c>
      <c r="G33" s="37">
        <f t="shared" si="8"/>
        <v>4925553808.5548267</v>
      </c>
      <c r="H33" s="37">
        <f t="shared" si="8"/>
        <v>4329655776.0681591</v>
      </c>
      <c r="I33" s="37">
        <f t="shared" si="8"/>
        <v>5426098303.6754427</v>
      </c>
      <c r="J33" s="37">
        <f t="shared" si="8"/>
        <v>1621402282.2998872</v>
      </c>
      <c r="K33" s="37">
        <f t="shared" si="8"/>
        <v>358421544.81322008</v>
      </c>
      <c r="L33" s="37">
        <f t="shared" si="8"/>
        <v>6003747529.89217</v>
      </c>
      <c r="M33" s="37">
        <f t="shared" si="8"/>
        <v>9931460245.7282791</v>
      </c>
      <c r="N33" s="37">
        <f t="shared" si="8"/>
        <v>663858850.45327759</v>
      </c>
      <c r="O33" s="37">
        <f t="shared" si="8"/>
        <v>3088885993.0500031</v>
      </c>
      <c r="P33" s="37">
        <f>P28+P29-P30-P31+P32</f>
        <v>4598746797.7750015</v>
      </c>
      <c r="Q33" s="44" t="s">
        <v>182</v>
      </c>
    </row>
    <row r="34" spans="4:17" ht="24" thickTop="1"/>
  </sheetData>
  <mergeCells count="5">
    <mergeCell ref="E4:P4"/>
    <mergeCell ref="D4:D5"/>
    <mergeCell ref="Q4:Q5"/>
    <mergeCell ref="D1:Q2"/>
    <mergeCell ref="X26:Y26"/>
  </mergeCells>
  <hyperlinks>
    <hyperlink ref="D1:Q2" r:id="rId1" location="'فهرست مطالب'!A1" display="صورت گردش جریان وجوه نقد - برای سال 1395"/>
  </hyperlinks>
  <pageMargins left="0.7" right="0.7" top="0.75" bottom="0.75" header="0.3" footer="0.3"/>
  <pageSetup paperSize="9" orientation="portrait" horizontalDpi="300" verticalDpi="300" r:id="rId2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D2:V67"/>
  <sheetViews>
    <sheetView topLeftCell="O52" zoomScale="80" zoomScaleNormal="80" workbookViewId="0">
      <selection activeCell="P30" sqref="P30"/>
    </sheetView>
  </sheetViews>
  <sheetFormatPr defaultColWidth="9" defaultRowHeight="26.25"/>
  <cols>
    <col min="1" max="2" width="9" style="36"/>
    <col min="3" max="3" width="9" style="36" customWidth="1"/>
    <col min="4" max="4" width="0.85546875" style="36" hidden="1" customWidth="1"/>
    <col min="5" max="5" width="29.42578125" style="36" customWidth="1"/>
    <col min="6" max="6" width="31.42578125" style="36" bestFit="1" customWidth="1"/>
    <col min="7" max="7" width="18.5703125" style="36" bestFit="1" customWidth="1"/>
    <col min="8" max="8" width="20.42578125" style="36" bestFit="1" customWidth="1"/>
    <col min="9" max="9" width="25.140625" style="36" bestFit="1" customWidth="1"/>
    <col min="10" max="10" width="20.42578125" style="36" bestFit="1" customWidth="1"/>
    <col min="11" max="11" width="17.7109375" style="36" customWidth="1"/>
    <col min="12" max="12" width="27.42578125" style="36" customWidth="1"/>
    <col min="13" max="13" width="27.42578125" style="36" bestFit="1" customWidth="1"/>
    <col min="14" max="14" width="20.42578125" style="36" bestFit="1" customWidth="1"/>
    <col min="15" max="15" width="28.28515625" style="36" bestFit="1" customWidth="1"/>
    <col min="16" max="16" width="24.28515625" style="36" bestFit="1" customWidth="1"/>
    <col min="17" max="17" width="28.28515625" style="36" bestFit="1" customWidth="1"/>
    <col min="18" max="18" width="23.42578125" style="36" bestFit="1" customWidth="1"/>
    <col min="19" max="20" width="25.140625" style="36" bestFit="1" customWidth="1"/>
    <col min="21" max="21" width="27.28515625" style="36" bestFit="1" customWidth="1"/>
    <col min="22" max="22" width="49.7109375" style="36" bestFit="1" customWidth="1"/>
    <col min="23" max="24" width="9" style="36"/>
    <col min="25" max="25" width="23.42578125" style="36" bestFit="1" customWidth="1"/>
    <col min="26" max="16384" width="9" style="36"/>
  </cols>
  <sheetData>
    <row r="2" spans="6:22" ht="28.5">
      <c r="S2" s="707" t="s">
        <v>625</v>
      </c>
      <c r="T2" s="707"/>
      <c r="U2" s="707"/>
      <c r="V2" s="707"/>
    </row>
    <row r="4" spans="6:22" ht="53.25" customHeight="1">
      <c r="I4" s="708" t="s">
        <v>751</v>
      </c>
      <c r="J4" s="708"/>
      <c r="K4" s="708"/>
      <c r="L4" s="708"/>
      <c r="M4" s="708"/>
      <c r="N4" s="708"/>
      <c r="O4" s="708"/>
      <c r="P4" s="708"/>
      <c r="Q4" s="708"/>
      <c r="R4" s="708"/>
      <c r="S4" s="708"/>
      <c r="T4" s="708"/>
      <c r="U4" s="708"/>
      <c r="V4" s="36" t="s">
        <v>195</v>
      </c>
    </row>
    <row r="5" spans="6:22" ht="53.25" thickBot="1">
      <c r="F5" s="48"/>
      <c r="I5" s="49" t="s">
        <v>12</v>
      </c>
      <c r="J5" s="49" t="s">
        <v>41</v>
      </c>
      <c r="K5" s="49" t="s">
        <v>10</v>
      </c>
      <c r="L5" s="49" t="s">
        <v>254</v>
      </c>
      <c r="M5" s="49" t="s">
        <v>8</v>
      </c>
      <c r="N5" s="49" t="s">
        <v>40</v>
      </c>
      <c r="O5" s="49" t="s">
        <v>6</v>
      </c>
      <c r="P5" s="49" t="s">
        <v>253</v>
      </c>
      <c r="Q5" s="49" t="s">
        <v>4</v>
      </c>
      <c r="R5" s="49" t="s">
        <v>252</v>
      </c>
      <c r="S5" s="49" t="s">
        <v>2</v>
      </c>
      <c r="T5" s="49" t="s">
        <v>251</v>
      </c>
      <c r="U5" s="49" t="s">
        <v>250</v>
      </c>
      <c r="V5" s="190" t="s">
        <v>342</v>
      </c>
    </row>
    <row r="6" spans="6:22" ht="27" thickTop="1">
      <c r="I6" s="50" t="s">
        <v>188</v>
      </c>
    </row>
    <row r="7" spans="6:22">
      <c r="I7" s="36">
        <f>SUM(J7:U7)</f>
        <v>700000000</v>
      </c>
      <c r="P7" s="36">
        <v>40000000</v>
      </c>
      <c r="Q7" s="36">
        <v>150000000</v>
      </c>
      <c r="R7" s="36">
        <v>300000000</v>
      </c>
      <c r="S7" s="36">
        <v>60000000</v>
      </c>
      <c r="T7" s="36">
        <v>100000000</v>
      </c>
      <c r="U7" s="36">
        <v>50000000</v>
      </c>
      <c r="V7" s="36" t="s">
        <v>193</v>
      </c>
    </row>
    <row r="8" spans="6:22">
      <c r="I8" s="217">
        <f t="shared" ref="I8:I11" si="0">SUM(J8:U8)</f>
        <v>1000000000</v>
      </c>
      <c r="R8" s="36">
        <v>600000000</v>
      </c>
      <c r="S8" s="36">
        <v>200000000</v>
      </c>
      <c r="T8" s="36">
        <v>200000000</v>
      </c>
      <c r="V8" s="36" t="s">
        <v>194</v>
      </c>
    </row>
    <row r="9" spans="6:22" s="217" customFormat="1">
      <c r="I9" s="217">
        <f t="shared" si="0"/>
        <v>90000000</v>
      </c>
      <c r="M9" s="217">
        <v>30000000</v>
      </c>
      <c r="O9" s="217">
        <v>30000000</v>
      </c>
      <c r="S9" s="217">
        <v>30000000</v>
      </c>
      <c r="V9" s="217" t="s">
        <v>404</v>
      </c>
    </row>
    <row r="10" spans="6:22" s="217" customFormat="1">
      <c r="I10" s="217">
        <f t="shared" si="0"/>
        <v>20000000</v>
      </c>
      <c r="U10" s="217">
        <v>20000000</v>
      </c>
      <c r="V10" s="217" t="s">
        <v>405</v>
      </c>
    </row>
    <row r="11" spans="6:22" ht="27" thickBot="1">
      <c r="I11" s="217">
        <f t="shared" si="0"/>
        <v>190000000</v>
      </c>
      <c r="T11" s="36">
        <v>90000000</v>
      </c>
      <c r="U11" s="36">
        <v>100000000</v>
      </c>
      <c r="V11" s="217" t="s">
        <v>406</v>
      </c>
    </row>
    <row r="12" spans="6:22" ht="27.75" thickTop="1" thickBot="1">
      <c r="I12" s="51">
        <f t="shared" ref="I12:U12" si="1">SUM(I7:I11)</f>
        <v>2000000000</v>
      </c>
      <c r="J12" s="51">
        <f t="shared" si="1"/>
        <v>0</v>
      </c>
      <c r="K12" s="51">
        <f t="shared" si="1"/>
        <v>0</v>
      </c>
      <c r="L12" s="51">
        <f t="shared" si="1"/>
        <v>0</v>
      </c>
      <c r="M12" s="51">
        <f t="shared" si="1"/>
        <v>30000000</v>
      </c>
      <c r="N12" s="51">
        <f t="shared" si="1"/>
        <v>0</v>
      </c>
      <c r="O12" s="51">
        <f t="shared" si="1"/>
        <v>30000000</v>
      </c>
      <c r="P12" s="51">
        <f t="shared" si="1"/>
        <v>40000000</v>
      </c>
      <c r="Q12" s="51">
        <f t="shared" si="1"/>
        <v>150000000</v>
      </c>
      <c r="R12" s="51">
        <f t="shared" si="1"/>
        <v>900000000</v>
      </c>
      <c r="S12" s="51">
        <f t="shared" si="1"/>
        <v>290000000</v>
      </c>
      <c r="T12" s="51">
        <f t="shared" si="1"/>
        <v>390000000</v>
      </c>
      <c r="U12" s="51">
        <f t="shared" si="1"/>
        <v>170000000</v>
      </c>
      <c r="V12" s="36" t="s">
        <v>189</v>
      </c>
    </row>
    <row r="13" spans="6:22" ht="27" thickTop="1"/>
    <row r="18" spans="6:22">
      <c r="G18" s="43"/>
      <c r="S18" s="709" t="s">
        <v>752</v>
      </c>
      <c r="T18" s="709"/>
      <c r="U18" s="709"/>
      <c r="V18" s="36" t="s">
        <v>206</v>
      </c>
    </row>
    <row r="19" spans="6:22" ht="27" thickBot="1">
      <c r="F19" s="53"/>
      <c r="G19" s="54"/>
      <c r="S19" s="55" t="s">
        <v>321</v>
      </c>
      <c r="T19" s="55" t="s">
        <v>200</v>
      </c>
      <c r="U19" s="55" t="s">
        <v>13</v>
      </c>
      <c r="V19" s="56" t="s">
        <v>199</v>
      </c>
    </row>
    <row r="20" spans="6:22" ht="27" thickTop="1"/>
    <row r="21" spans="6:22">
      <c r="S21" s="36">
        <f>T21*U21</f>
        <v>1700000000</v>
      </c>
      <c r="T21" s="36">
        <v>4250000</v>
      </c>
      <c r="U21" s="36">
        <v>400</v>
      </c>
      <c r="V21" s="180" t="s">
        <v>340</v>
      </c>
    </row>
    <row r="22" spans="6:22">
      <c r="S22" s="180">
        <f>T22*U22</f>
        <v>600000000</v>
      </c>
      <c r="T22" s="36">
        <v>1000000</v>
      </c>
      <c r="U22" s="36">
        <v>600</v>
      </c>
      <c r="V22" s="180" t="s">
        <v>341</v>
      </c>
    </row>
    <row r="23" spans="6:22" ht="27" thickBot="1">
      <c r="S23" s="180">
        <f>T23*U23</f>
        <v>550000000</v>
      </c>
      <c r="T23" s="48">
        <v>550000</v>
      </c>
      <c r="U23" s="36">
        <v>1000</v>
      </c>
      <c r="V23" s="535" t="s">
        <v>789</v>
      </c>
    </row>
    <row r="24" spans="6:22" ht="27.75" thickTop="1" thickBot="1">
      <c r="S24" s="59">
        <f>SUM(S21:S23)</f>
        <v>2850000000</v>
      </c>
      <c r="T24" s="60"/>
      <c r="U24" s="59">
        <f>SUM(U21:U23)</f>
        <v>2000</v>
      </c>
      <c r="V24" s="36" t="s">
        <v>12</v>
      </c>
    </row>
    <row r="25" spans="6:22" ht="27" thickTop="1"/>
    <row r="26" spans="6:22">
      <c r="G26" s="42"/>
      <c r="S26" s="709" t="s">
        <v>753</v>
      </c>
      <c r="T26" s="709"/>
      <c r="U26" s="709"/>
    </row>
    <row r="27" spans="6:22">
      <c r="V27" s="36" t="s">
        <v>207</v>
      </c>
    </row>
    <row r="29" spans="6:22" ht="27" thickBot="1">
      <c r="F29" s="53"/>
      <c r="G29" s="54"/>
      <c r="S29" s="55" t="s">
        <v>15</v>
      </c>
      <c r="T29" s="55" t="s">
        <v>200</v>
      </c>
      <c r="U29" s="55" t="s">
        <v>13</v>
      </c>
      <c r="V29" s="56" t="s">
        <v>201</v>
      </c>
    </row>
    <row r="30" spans="6:22" ht="27" thickTop="1"/>
    <row r="31" spans="6:22">
      <c r="S31" s="36">
        <f>T31*U31</f>
        <v>1100000000</v>
      </c>
      <c r="T31" s="36">
        <v>1100000</v>
      </c>
      <c r="U31" s="36">
        <v>1000</v>
      </c>
      <c r="V31" s="180" t="s">
        <v>347</v>
      </c>
    </row>
    <row r="32" spans="6:22">
      <c r="S32" s="114">
        <f>T32*U32</f>
        <v>600000000</v>
      </c>
      <c r="T32" s="36">
        <v>300000</v>
      </c>
      <c r="U32" s="52">
        <v>2000</v>
      </c>
      <c r="V32" s="180" t="s">
        <v>348</v>
      </c>
    </row>
    <row r="33" spans="6:22" s="180" customFormat="1" ht="27" thickBot="1">
      <c r="S33" s="180">
        <f>T33*U33</f>
        <v>405000000</v>
      </c>
      <c r="T33" s="180">
        <v>250000</v>
      </c>
      <c r="U33" s="180">
        <v>1620</v>
      </c>
      <c r="V33" s="535" t="s">
        <v>798</v>
      </c>
    </row>
    <row r="34" spans="6:22" ht="27.75" thickTop="1" thickBot="1">
      <c r="S34" s="51">
        <f>SUM(S31:S33)</f>
        <v>2105000000</v>
      </c>
      <c r="T34" s="61"/>
      <c r="U34" s="51">
        <f>SUM(U31:U32)</f>
        <v>3000</v>
      </c>
      <c r="V34" s="36" t="s">
        <v>12</v>
      </c>
    </row>
    <row r="35" spans="6:22" ht="27" thickTop="1">
      <c r="S35" s="36">
        <f>S34+S24</f>
        <v>4955000000</v>
      </c>
      <c r="V35" s="192" t="s">
        <v>42</v>
      </c>
    </row>
    <row r="37" spans="6:22">
      <c r="V37" s="500" t="s">
        <v>784</v>
      </c>
    </row>
    <row r="39" spans="6:22" ht="27" thickBot="1">
      <c r="F39" s="36" t="s">
        <v>208</v>
      </c>
      <c r="H39" s="709" t="s">
        <v>209</v>
      </c>
      <c r="I39" s="709"/>
      <c r="J39" s="709"/>
      <c r="K39" s="709"/>
      <c r="L39" s="709"/>
      <c r="M39" s="709"/>
      <c r="N39" s="709"/>
      <c r="O39" s="709"/>
      <c r="P39" s="709"/>
      <c r="Q39" s="709"/>
      <c r="V39" s="36" t="s">
        <v>296</v>
      </c>
    </row>
    <row r="40" spans="6:22" ht="27.75" thickTop="1" thickBot="1">
      <c r="L40" s="714" t="s">
        <v>298</v>
      </c>
      <c r="M40" s="714"/>
      <c r="N40" s="711" t="s">
        <v>297</v>
      </c>
      <c r="O40" s="711"/>
      <c r="P40" s="711"/>
      <c r="Q40" s="712"/>
      <c r="R40" s="710" t="s">
        <v>296</v>
      </c>
      <c r="S40" s="711"/>
      <c r="T40" s="711"/>
      <c r="U40" s="712"/>
      <c r="V40" s="713" t="s">
        <v>88</v>
      </c>
    </row>
    <row r="41" spans="6:22" ht="33" thickTop="1" thickBot="1">
      <c r="L41" s="69" t="s">
        <v>758</v>
      </c>
      <c r="M41" s="69" t="s">
        <v>757</v>
      </c>
      <c r="N41" s="64" t="s">
        <v>755</v>
      </c>
      <c r="O41" s="64" t="s">
        <v>255</v>
      </c>
      <c r="P41" s="64" t="s">
        <v>756</v>
      </c>
      <c r="Q41" s="64" t="str">
        <f>U41</f>
        <v>مانده در 97/01/01</v>
      </c>
      <c r="R41" s="63" t="s">
        <v>755</v>
      </c>
      <c r="S41" s="64" t="s">
        <v>704</v>
      </c>
      <c r="T41" s="64" t="s">
        <v>703</v>
      </c>
      <c r="U41" s="65" t="s">
        <v>754</v>
      </c>
      <c r="V41" s="713"/>
    </row>
    <row r="42" spans="6:22" ht="27.75" thickTop="1" thickBot="1">
      <c r="L42" s="57"/>
      <c r="M42" s="57">
        <f>U42-Q42</f>
        <v>4332500000</v>
      </c>
      <c r="N42" s="78"/>
      <c r="O42" s="76"/>
      <c r="P42" s="76"/>
      <c r="Q42" s="77">
        <v>0</v>
      </c>
      <c r="R42" s="75"/>
      <c r="S42" s="76"/>
      <c r="T42" s="76"/>
      <c r="U42" s="77">
        <v>4332500000</v>
      </c>
      <c r="V42" s="62" t="s">
        <v>78</v>
      </c>
    </row>
    <row r="43" spans="6:22" ht="27.75" thickTop="1" thickBot="1">
      <c r="L43" s="58"/>
      <c r="M43" s="57">
        <f t="shared" ref="M43:M53" si="2">U43-Q43</f>
        <v>9450000000</v>
      </c>
      <c r="N43" s="78"/>
      <c r="O43" s="79"/>
      <c r="P43" s="79"/>
      <c r="Q43" s="80">
        <f>U43/10</f>
        <v>1050000000</v>
      </c>
      <c r="R43" s="78"/>
      <c r="S43" s="79"/>
      <c r="T43" s="79"/>
      <c r="U43" s="80">
        <v>10500000000</v>
      </c>
      <c r="V43" s="62" t="s">
        <v>79</v>
      </c>
    </row>
    <row r="44" spans="6:22" ht="27.75" thickTop="1" thickBot="1">
      <c r="L44" s="58"/>
      <c r="M44" s="57">
        <f t="shared" si="2"/>
        <v>6160000000</v>
      </c>
      <c r="N44" s="78"/>
      <c r="O44" s="79"/>
      <c r="P44" s="79"/>
      <c r="Q44" s="80">
        <f>U44*12%</f>
        <v>840000000</v>
      </c>
      <c r="R44" s="78"/>
      <c r="S44" s="79"/>
      <c r="T44" s="79"/>
      <c r="U44" s="80">
        <v>7000000000</v>
      </c>
      <c r="V44" s="62" t="s">
        <v>80</v>
      </c>
    </row>
    <row r="45" spans="6:22" ht="27.75" thickTop="1" thickBot="1">
      <c r="L45" s="58"/>
      <c r="M45" s="57">
        <f t="shared" si="2"/>
        <v>20125000000</v>
      </c>
      <c r="N45" s="78"/>
      <c r="O45" s="79"/>
      <c r="P45" s="79"/>
      <c r="Q45" s="80">
        <f>U45/8</f>
        <v>2875000000</v>
      </c>
      <c r="R45" s="78"/>
      <c r="S45" s="79"/>
      <c r="T45" s="79"/>
      <c r="U45" s="80">
        <v>23000000000</v>
      </c>
      <c r="V45" s="62" t="s">
        <v>81</v>
      </c>
    </row>
    <row r="46" spans="6:22" ht="27.75" thickTop="1" thickBot="1">
      <c r="L46" s="58"/>
      <c r="M46" s="57">
        <f t="shared" si="2"/>
        <v>1170000000</v>
      </c>
      <c r="N46" s="78"/>
      <c r="O46" s="79"/>
      <c r="P46" s="79"/>
      <c r="Q46" s="80">
        <f>U46/10</f>
        <v>130000000</v>
      </c>
      <c r="R46" s="78"/>
      <c r="S46" s="79"/>
      <c r="T46" s="79"/>
      <c r="U46" s="80">
        <v>1300000000</v>
      </c>
      <c r="V46" s="62" t="s">
        <v>86</v>
      </c>
    </row>
    <row r="47" spans="6:22" ht="27.75" thickTop="1" thickBot="1">
      <c r="L47" s="58"/>
      <c r="M47" s="57">
        <f t="shared" si="2"/>
        <v>1312500000</v>
      </c>
      <c r="N47" s="78"/>
      <c r="O47" s="79"/>
      <c r="P47" s="79"/>
      <c r="Q47" s="80">
        <f>U47*25%</f>
        <v>437500000</v>
      </c>
      <c r="R47" s="78"/>
      <c r="S47" s="79"/>
      <c r="T47" s="79"/>
      <c r="U47" s="80">
        <v>1750000000</v>
      </c>
      <c r="V47" s="62" t="s">
        <v>82</v>
      </c>
    </row>
    <row r="48" spans="6:22" ht="27.75" thickTop="1" thickBot="1">
      <c r="L48" s="58"/>
      <c r="M48" s="57">
        <f t="shared" si="2"/>
        <v>750000000</v>
      </c>
      <c r="N48" s="78"/>
      <c r="O48" s="91"/>
      <c r="P48" s="91"/>
      <c r="Q48" s="80">
        <f>U48*25%</f>
        <v>250000000</v>
      </c>
      <c r="R48" s="78"/>
      <c r="S48" s="79"/>
      <c r="T48" s="79"/>
      <c r="U48" s="80">
        <v>1000000000</v>
      </c>
      <c r="V48" s="62" t="s">
        <v>87</v>
      </c>
    </row>
    <row r="49" spans="6:22" ht="27.75" thickTop="1" thickBot="1">
      <c r="L49" s="70"/>
      <c r="M49" s="71">
        <f t="shared" si="2"/>
        <v>43300000000</v>
      </c>
      <c r="N49" s="81"/>
      <c r="O49" s="93"/>
      <c r="P49" s="93"/>
      <c r="Q49" s="93">
        <f>SUM(Q42:Q48)</f>
        <v>5582500000</v>
      </c>
      <c r="R49" s="92"/>
      <c r="S49" s="82"/>
      <c r="T49" s="82"/>
      <c r="U49" s="83">
        <f>SUM(U42:U48)</f>
        <v>48882500000</v>
      </c>
      <c r="V49" s="66" t="s">
        <v>83</v>
      </c>
    </row>
    <row r="50" spans="6:22" ht="27.75" thickTop="1" thickBot="1">
      <c r="L50" s="58"/>
      <c r="M50" s="57">
        <f t="shared" si="2"/>
        <v>2000000000</v>
      </c>
      <c r="N50" s="100"/>
      <c r="O50" s="101"/>
      <c r="P50" s="101"/>
      <c r="Q50" s="102"/>
      <c r="R50" s="78"/>
      <c r="S50" s="79"/>
      <c r="T50" s="79"/>
      <c r="U50" s="80">
        <v>2000000000</v>
      </c>
      <c r="V50" s="62" t="s">
        <v>84</v>
      </c>
    </row>
    <row r="51" spans="6:22" ht="27.75" thickTop="1" thickBot="1">
      <c r="L51" s="58"/>
      <c r="M51" s="57">
        <f t="shared" si="2"/>
        <v>100000000</v>
      </c>
      <c r="N51" s="103"/>
      <c r="O51" s="104"/>
      <c r="P51" s="104"/>
      <c r="Q51" s="105"/>
      <c r="R51" s="78"/>
      <c r="S51" s="84"/>
      <c r="T51" s="84"/>
      <c r="U51" s="85">
        <v>100000000</v>
      </c>
      <c r="V51" s="62" t="s">
        <v>85</v>
      </c>
    </row>
    <row r="52" spans="6:22" ht="27.75" thickTop="1" thickBot="1">
      <c r="L52" s="72"/>
      <c r="M52" s="71">
        <f t="shared" si="2"/>
        <v>2100000000</v>
      </c>
      <c r="N52" s="94">
        <v>0</v>
      </c>
      <c r="O52" s="95">
        <v>0</v>
      </c>
      <c r="P52" s="95">
        <v>0</v>
      </c>
      <c r="Q52" s="96">
        <v>0</v>
      </c>
      <c r="R52" s="81"/>
      <c r="S52" s="86"/>
      <c r="T52" s="86"/>
      <c r="U52" s="87">
        <f>SUM(U50:U51)</f>
        <v>2100000000</v>
      </c>
      <c r="V52" s="67" t="s">
        <v>210</v>
      </c>
    </row>
    <row r="53" spans="6:22" ht="27.75" thickTop="1" thickBot="1">
      <c r="L53" s="73"/>
      <c r="M53" s="74">
        <f t="shared" si="2"/>
        <v>45400000000</v>
      </c>
      <c r="N53" s="97"/>
      <c r="O53" s="98"/>
      <c r="P53" s="98"/>
      <c r="Q53" s="99">
        <f>Q49</f>
        <v>5582500000</v>
      </c>
      <c r="R53" s="88"/>
      <c r="S53" s="89"/>
      <c r="T53" s="89"/>
      <c r="U53" s="90">
        <f>U49+U52</f>
        <v>50982500000</v>
      </c>
      <c r="V53" s="68" t="s">
        <v>211</v>
      </c>
    </row>
    <row r="54" spans="6:22" ht="27" thickTop="1"/>
    <row r="56" spans="6:22">
      <c r="F56" s="36" t="s">
        <v>212</v>
      </c>
    </row>
    <row r="57" spans="6:22">
      <c r="V57" s="500" t="s">
        <v>785</v>
      </c>
    </row>
    <row r="58" spans="6:22" ht="27" thickBot="1">
      <c r="H58" s="708" t="s">
        <v>462</v>
      </c>
      <c r="I58" s="708"/>
      <c r="J58" s="708"/>
      <c r="K58" s="708"/>
      <c r="L58" s="708"/>
      <c r="M58" s="708"/>
      <c r="N58" s="708"/>
      <c r="O58" s="708"/>
      <c r="P58" s="708"/>
      <c r="Q58" s="708"/>
      <c r="R58" s="708"/>
      <c r="S58" s="708"/>
      <c r="T58" s="708"/>
    </row>
    <row r="59" spans="6:22" ht="40.5" customHeight="1" thickBot="1">
      <c r="F59" s="48"/>
      <c r="I59" s="174" t="s">
        <v>12</v>
      </c>
      <c r="J59" s="174" t="s">
        <v>41</v>
      </c>
      <c r="K59" s="174" t="s">
        <v>10</v>
      </c>
      <c r="L59" s="174" t="s">
        <v>254</v>
      </c>
      <c r="M59" s="174" t="s">
        <v>8</v>
      </c>
      <c r="N59" s="174" t="s">
        <v>40</v>
      </c>
      <c r="O59" s="174" t="s">
        <v>6</v>
      </c>
      <c r="P59" s="174" t="s">
        <v>253</v>
      </c>
      <c r="Q59" s="174" t="s">
        <v>299</v>
      </c>
      <c r="R59" s="174" t="s">
        <v>266</v>
      </c>
      <c r="S59" s="174" t="s">
        <v>2</v>
      </c>
      <c r="T59" s="174" t="s">
        <v>251</v>
      </c>
      <c r="U59" s="174" t="s">
        <v>250</v>
      </c>
      <c r="V59" s="174" t="s">
        <v>337</v>
      </c>
    </row>
    <row r="60" spans="6:22" ht="27" thickBot="1">
      <c r="I60" s="107" t="str">
        <f>J60</f>
        <v xml:space="preserve">ريال </v>
      </c>
      <c r="J60" s="108" t="s">
        <v>188</v>
      </c>
      <c r="K60" s="108" t="s">
        <v>188</v>
      </c>
      <c r="L60" s="108" t="s">
        <v>188</v>
      </c>
      <c r="M60" s="108" t="s">
        <v>188</v>
      </c>
      <c r="N60" s="108" t="s">
        <v>188</v>
      </c>
      <c r="O60" s="108" t="s">
        <v>188</v>
      </c>
      <c r="P60" s="108" t="s">
        <v>188</v>
      </c>
      <c r="Q60" s="108" t="s">
        <v>188</v>
      </c>
      <c r="R60" s="108" t="s">
        <v>188</v>
      </c>
      <c r="S60" s="108" t="s">
        <v>188</v>
      </c>
      <c r="T60" s="108" t="s">
        <v>188</v>
      </c>
      <c r="U60" s="108" t="s">
        <v>188</v>
      </c>
      <c r="V60" s="106"/>
    </row>
    <row r="61" spans="6:22" ht="27" thickBot="1">
      <c r="I61" s="106">
        <f>SUM(J61:U61)</f>
        <v>1800000000</v>
      </c>
      <c r="J61" s="106"/>
      <c r="K61" s="106"/>
      <c r="L61" s="106"/>
      <c r="M61" s="106"/>
      <c r="N61" s="106"/>
      <c r="O61" s="106"/>
      <c r="P61" s="106"/>
      <c r="Q61" s="106"/>
      <c r="R61" s="106"/>
      <c r="S61" s="106">
        <v>300000000</v>
      </c>
      <c r="T61" s="106">
        <v>500000000</v>
      </c>
      <c r="U61" s="106">
        <v>1000000000</v>
      </c>
      <c r="V61" s="106" t="s">
        <v>213</v>
      </c>
    </row>
    <row r="62" spans="6:22" ht="27" thickBot="1">
      <c r="I62" s="106">
        <f t="shared" ref="I62:I66" si="3">SUM(J62:U62)</f>
        <v>800000000</v>
      </c>
      <c r="J62" s="106"/>
      <c r="K62" s="106"/>
      <c r="L62" s="106"/>
      <c r="M62" s="106"/>
      <c r="N62" s="106"/>
      <c r="O62" s="106"/>
      <c r="P62" s="106"/>
      <c r="Q62" s="106"/>
      <c r="R62" s="106"/>
      <c r="S62" s="106">
        <v>300000000</v>
      </c>
      <c r="T62" s="106">
        <v>300000000</v>
      </c>
      <c r="U62" s="106">
        <v>200000000</v>
      </c>
      <c r="V62" s="106" t="s">
        <v>214</v>
      </c>
    </row>
    <row r="63" spans="6:22" ht="27" thickBot="1">
      <c r="I63" s="106">
        <f t="shared" si="3"/>
        <v>849500000</v>
      </c>
      <c r="J63" s="106"/>
      <c r="K63" s="106"/>
      <c r="L63" s="106"/>
      <c r="M63" s="106"/>
      <c r="N63" s="106"/>
      <c r="O63" s="106"/>
      <c r="P63" s="106"/>
      <c r="Q63" s="106"/>
      <c r="R63" s="106">
        <v>399500000</v>
      </c>
      <c r="S63" s="106"/>
      <c r="T63" s="106"/>
      <c r="U63" s="106">
        <v>450000000</v>
      </c>
      <c r="V63" s="106" t="s">
        <v>215</v>
      </c>
    </row>
    <row r="64" spans="6:22" s="217" customFormat="1" ht="27" thickBot="1">
      <c r="I64" s="106">
        <f t="shared" si="3"/>
        <v>500000000</v>
      </c>
      <c r="J64" s="106"/>
      <c r="K64" s="106"/>
      <c r="L64" s="106"/>
      <c r="M64" s="106"/>
      <c r="N64" s="106"/>
      <c r="O64" s="106"/>
      <c r="P64" s="106"/>
      <c r="Q64" s="106"/>
      <c r="R64" s="106"/>
      <c r="S64" s="106"/>
      <c r="T64" s="106">
        <v>500000000</v>
      </c>
      <c r="U64" s="106"/>
      <c r="V64" s="106" t="s">
        <v>407</v>
      </c>
    </row>
    <row r="65" spans="9:22" s="217" customFormat="1" ht="27" thickBot="1">
      <c r="I65" s="106">
        <f t="shared" si="3"/>
        <v>300000000</v>
      </c>
      <c r="J65" s="106"/>
      <c r="K65" s="106"/>
      <c r="L65" s="106"/>
      <c r="M65" s="106"/>
      <c r="N65" s="106"/>
      <c r="O65" s="106"/>
      <c r="P65" s="106">
        <v>300000000</v>
      </c>
      <c r="Q65" s="106"/>
      <c r="R65" s="106"/>
      <c r="S65" s="106"/>
      <c r="T65" s="106"/>
      <c r="U65" s="106"/>
      <c r="V65" s="106" t="s">
        <v>406</v>
      </c>
    </row>
    <row r="66" spans="9:22" s="171" customFormat="1" ht="53.25" thickBot="1">
      <c r="I66" s="106">
        <f t="shared" si="3"/>
        <v>400000000</v>
      </c>
      <c r="J66" s="106"/>
      <c r="K66" s="106"/>
      <c r="L66" s="106"/>
      <c r="M66" s="106"/>
      <c r="N66" s="106"/>
      <c r="O66" s="106"/>
      <c r="P66" s="106"/>
      <c r="Q66" s="106">
        <v>400000000</v>
      </c>
      <c r="R66" s="106"/>
      <c r="S66" s="106"/>
      <c r="T66" s="106"/>
      <c r="U66" s="106"/>
      <c r="V66" s="173" t="s">
        <v>338</v>
      </c>
    </row>
    <row r="67" spans="9:22" ht="27" thickBot="1">
      <c r="I67" s="174">
        <f t="shared" ref="I67:T67" si="4">SUM(I61:I66)</f>
        <v>4649500000</v>
      </c>
      <c r="J67" s="174">
        <f t="shared" si="4"/>
        <v>0</v>
      </c>
      <c r="K67" s="174">
        <f t="shared" si="4"/>
        <v>0</v>
      </c>
      <c r="L67" s="174">
        <f t="shared" si="4"/>
        <v>0</v>
      </c>
      <c r="M67" s="174">
        <f t="shared" si="4"/>
        <v>0</v>
      </c>
      <c r="N67" s="174">
        <f t="shared" si="4"/>
        <v>0</v>
      </c>
      <c r="O67" s="174">
        <f t="shared" si="4"/>
        <v>0</v>
      </c>
      <c r="P67" s="174">
        <f t="shared" si="4"/>
        <v>300000000</v>
      </c>
      <c r="Q67" s="174">
        <f t="shared" si="4"/>
        <v>400000000</v>
      </c>
      <c r="R67" s="174">
        <f t="shared" si="4"/>
        <v>399500000</v>
      </c>
      <c r="S67" s="174">
        <f t="shared" si="4"/>
        <v>600000000</v>
      </c>
      <c r="T67" s="174">
        <f t="shared" si="4"/>
        <v>1300000000</v>
      </c>
      <c r="U67" s="174">
        <f>SUM(U61:U66)</f>
        <v>1650000000</v>
      </c>
      <c r="V67" s="174" t="s">
        <v>189</v>
      </c>
    </row>
  </sheetData>
  <mergeCells count="10">
    <mergeCell ref="S2:V2"/>
    <mergeCell ref="I4:U4"/>
    <mergeCell ref="S18:U18"/>
    <mergeCell ref="S26:U26"/>
    <mergeCell ref="H58:T58"/>
    <mergeCell ref="H39:Q39"/>
    <mergeCell ref="R40:U40"/>
    <mergeCell ref="V40:V41"/>
    <mergeCell ref="N40:Q40"/>
    <mergeCell ref="L40:M40"/>
  </mergeCells>
  <hyperlinks>
    <hyperlink ref="S2:V2" r:id="rId1" location="'فهرست مطالب'!A1" display="اطلاعات تفصیلی سال قبل"/>
  </hyperlinks>
  <pageMargins left="0.70866141732283472" right="0.70866141732283472" top="0.74803149606299213" bottom="0.74803149606299213" header="0.31496062992125984" footer="0.31496062992125984"/>
  <pageSetup paperSize="9" scale="32" orientation="landscape" r:id="rId2"/>
</worksheet>
</file>

<file path=xl/worksheets/sheet17.xml><?xml version="1.0" encoding="utf-8"?>
<worksheet xmlns="http://schemas.openxmlformats.org/spreadsheetml/2006/main" xmlns:r="http://schemas.openxmlformats.org/officeDocument/2006/relationships">
  <dimension ref="E1:N19"/>
  <sheetViews>
    <sheetView rightToLeft="1" topLeftCell="E2" workbookViewId="0">
      <selection activeCell="K19" sqref="K19"/>
    </sheetView>
  </sheetViews>
  <sheetFormatPr defaultColWidth="9" defaultRowHeight="15"/>
  <cols>
    <col min="1" max="4" width="9" style="235"/>
    <col min="5" max="5" width="6.7109375" style="235" bestFit="1" customWidth="1"/>
    <col min="6" max="6" width="26.42578125" style="235" bestFit="1" customWidth="1"/>
    <col min="7" max="7" width="14.7109375" style="235" bestFit="1" customWidth="1"/>
    <col min="8" max="9" width="17.42578125" style="235" customWidth="1"/>
    <col min="10" max="10" width="17.42578125" style="235" bestFit="1" customWidth="1"/>
    <col min="11" max="13" width="15.7109375" style="235" bestFit="1" customWidth="1"/>
    <col min="14" max="14" width="16.42578125" style="235" bestFit="1" customWidth="1"/>
    <col min="15" max="16384" width="9" style="235"/>
  </cols>
  <sheetData>
    <row r="1" spans="5:14" ht="28.5">
      <c r="E1" s="323"/>
      <c r="F1" s="323"/>
      <c r="G1" s="323"/>
      <c r="H1" s="323"/>
      <c r="I1" s="323"/>
      <c r="J1" s="323"/>
      <c r="K1" s="323"/>
      <c r="L1" s="323"/>
      <c r="M1" s="323"/>
      <c r="N1" s="323"/>
    </row>
    <row r="2" spans="5:14" ht="14.25" customHeight="1">
      <c r="E2" s="718" t="s">
        <v>315</v>
      </c>
      <c r="F2" s="718"/>
      <c r="G2" s="718"/>
      <c r="H2" s="718"/>
      <c r="I2" s="718"/>
      <c r="J2" s="718"/>
      <c r="K2" s="718"/>
      <c r="L2" s="718"/>
      <c r="M2" s="718"/>
      <c r="N2" s="718"/>
    </row>
    <row r="3" spans="5:14" ht="14.25" customHeight="1">
      <c r="E3" s="718"/>
      <c r="F3" s="718"/>
      <c r="G3" s="718"/>
      <c r="H3" s="718"/>
      <c r="I3" s="718"/>
      <c r="J3" s="718"/>
      <c r="K3" s="718"/>
      <c r="L3" s="718"/>
      <c r="M3" s="718"/>
      <c r="N3" s="718"/>
    </row>
    <row r="4" spans="5:14" ht="15.75" thickBot="1"/>
    <row r="5" spans="5:14" ht="64.5" thickTop="1" thickBot="1">
      <c r="E5" s="175" t="s">
        <v>292</v>
      </c>
      <c r="F5" s="175" t="s">
        <v>290</v>
      </c>
      <c r="G5" s="175" t="s">
        <v>291</v>
      </c>
      <c r="H5" s="176" t="s">
        <v>384</v>
      </c>
      <c r="I5" s="176" t="s">
        <v>313</v>
      </c>
      <c r="J5" s="176" t="s">
        <v>314</v>
      </c>
      <c r="K5" s="175" t="s">
        <v>200</v>
      </c>
      <c r="L5" s="176" t="s">
        <v>316</v>
      </c>
      <c r="M5" s="176" t="s">
        <v>317</v>
      </c>
      <c r="N5" s="176" t="s">
        <v>318</v>
      </c>
    </row>
    <row r="6" spans="5:14" ht="24.75" thickTop="1" thickBot="1">
      <c r="E6" s="221">
        <v>1</v>
      </c>
      <c r="F6" s="221" t="s">
        <v>383</v>
      </c>
      <c r="G6" s="210"/>
      <c r="H6" s="221">
        <v>3</v>
      </c>
      <c r="I6" s="221">
        <v>1.2</v>
      </c>
      <c r="J6" s="210"/>
      <c r="K6" s="221">
        <v>600000</v>
      </c>
      <c r="L6" s="221">
        <f>H6*K6</f>
        <v>1800000</v>
      </c>
      <c r="M6" s="237">
        <f>K6*I6</f>
        <v>720000</v>
      </c>
      <c r="N6" s="238"/>
    </row>
    <row r="7" spans="5:14" ht="24.75" thickTop="1" thickBot="1">
      <c r="E7" s="221">
        <v>2</v>
      </c>
      <c r="F7" s="221" t="s">
        <v>343</v>
      </c>
      <c r="G7" s="210"/>
      <c r="H7" s="221">
        <v>2</v>
      </c>
      <c r="I7" s="221">
        <v>0.7</v>
      </c>
      <c r="J7" s="210"/>
      <c r="K7" s="221">
        <v>200000</v>
      </c>
      <c r="L7" s="221">
        <f>H7*K7</f>
        <v>400000</v>
      </c>
      <c r="M7" s="237">
        <f t="shared" ref="M7:M10" si="0">K7*I7</f>
        <v>140000</v>
      </c>
      <c r="N7" s="238"/>
    </row>
    <row r="8" spans="5:14" ht="24.75" thickTop="1" thickBot="1">
      <c r="E8" s="221">
        <v>3</v>
      </c>
      <c r="F8" s="221" t="s">
        <v>344</v>
      </c>
      <c r="G8" s="210"/>
      <c r="H8" s="221">
        <v>15</v>
      </c>
      <c r="I8" s="221">
        <v>3</v>
      </c>
      <c r="J8" s="210"/>
      <c r="K8" s="221">
        <v>10000</v>
      </c>
      <c r="L8" s="221">
        <f>H8*K8</f>
        <v>150000</v>
      </c>
      <c r="M8" s="237">
        <f t="shared" si="0"/>
        <v>30000</v>
      </c>
      <c r="N8" s="238"/>
    </row>
    <row r="9" spans="5:14" ht="24.75" thickTop="1" thickBot="1">
      <c r="E9" s="221">
        <v>4</v>
      </c>
      <c r="F9" s="221" t="s">
        <v>345</v>
      </c>
      <c r="G9" s="210"/>
      <c r="H9" s="221">
        <v>1</v>
      </c>
      <c r="I9" s="221">
        <v>1</v>
      </c>
      <c r="J9" s="210"/>
      <c r="K9" s="221">
        <v>30000</v>
      </c>
      <c r="L9" s="221">
        <f>H9*K9</f>
        <v>30000</v>
      </c>
      <c r="M9" s="237">
        <f t="shared" si="0"/>
        <v>30000</v>
      </c>
      <c r="N9" s="238"/>
    </row>
    <row r="10" spans="5:14" ht="40.5" customHeight="1" thickTop="1" thickBot="1">
      <c r="E10" s="221">
        <v>5</v>
      </c>
      <c r="F10" s="433" t="s">
        <v>449</v>
      </c>
      <c r="G10" s="210"/>
      <c r="H10" s="221">
        <v>1</v>
      </c>
      <c r="I10" s="210"/>
      <c r="J10" s="210"/>
      <c r="K10" s="221">
        <v>150000</v>
      </c>
      <c r="L10" s="221">
        <f t="shared" ref="L10" si="1">H10*K10</f>
        <v>150000</v>
      </c>
      <c r="M10" s="237">
        <f t="shared" si="0"/>
        <v>0</v>
      </c>
      <c r="N10" s="238"/>
    </row>
    <row r="11" spans="5:14" ht="24.75" thickTop="1" thickBot="1">
      <c r="E11" s="221">
        <v>6</v>
      </c>
      <c r="F11" s="221" t="s">
        <v>799</v>
      </c>
      <c r="G11" s="210"/>
      <c r="H11" s="210"/>
      <c r="I11" s="210"/>
      <c r="J11" s="221">
        <v>1.3</v>
      </c>
      <c r="K11" s="221">
        <v>260000</v>
      </c>
      <c r="L11" s="210"/>
      <c r="M11" s="238"/>
      <c r="N11" s="237">
        <f t="shared" ref="N11" si="2">J11*K11</f>
        <v>338000</v>
      </c>
    </row>
    <row r="12" spans="5:14" ht="24.75" thickTop="1" thickBot="1">
      <c r="E12" s="221">
        <v>7</v>
      </c>
      <c r="F12" s="236" t="s">
        <v>450</v>
      </c>
      <c r="G12" s="210"/>
      <c r="H12" s="210"/>
      <c r="I12" s="236">
        <v>1</v>
      </c>
      <c r="J12" s="210"/>
      <c r="K12" s="236">
        <v>40000</v>
      </c>
      <c r="L12" s="210"/>
      <c r="M12" s="239">
        <f>I12*K12</f>
        <v>40000</v>
      </c>
      <c r="N12" s="238"/>
    </row>
    <row r="13" spans="5:14" ht="24.75" thickTop="1" thickBot="1">
      <c r="E13" s="221">
        <v>8</v>
      </c>
      <c r="F13" s="499" t="s">
        <v>759</v>
      </c>
      <c r="G13" s="210"/>
      <c r="H13" s="499">
        <v>2</v>
      </c>
      <c r="I13" s="210"/>
      <c r="J13" s="210"/>
      <c r="K13" s="499">
        <v>50000</v>
      </c>
      <c r="L13" s="499">
        <f>K13*H13</f>
        <v>100000</v>
      </c>
      <c r="M13" s="238"/>
      <c r="N13" s="238"/>
    </row>
    <row r="14" spans="5:14" ht="24.75" thickTop="1" thickBot="1">
      <c r="E14" s="221">
        <v>9</v>
      </c>
      <c r="F14" s="236" t="s">
        <v>800</v>
      </c>
      <c r="G14" s="210"/>
      <c r="H14" s="210"/>
      <c r="I14" s="210"/>
      <c r="J14" s="236">
        <v>12</v>
      </c>
      <c r="K14" s="236">
        <v>2000</v>
      </c>
      <c r="L14" s="210"/>
      <c r="M14" s="238"/>
      <c r="N14" s="239">
        <f>K14*J14</f>
        <v>24000</v>
      </c>
    </row>
    <row r="15" spans="5:14" ht="24.75" thickTop="1" thickBot="1">
      <c r="E15" s="221"/>
      <c r="F15" s="210"/>
      <c r="G15" s="210"/>
      <c r="H15" s="210"/>
      <c r="I15" s="210"/>
      <c r="J15" s="210"/>
      <c r="K15" s="210"/>
      <c r="L15" s="210"/>
      <c r="M15" s="238"/>
      <c r="N15" s="238"/>
    </row>
    <row r="16" spans="5:14" ht="24.75" thickTop="1" thickBot="1">
      <c r="E16" s="221"/>
      <c r="F16" s="210"/>
      <c r="G16" s="210"/>
      <c r="H16" s="210"/>
      <c r="I16" s="210"/>
      <c r="J16" s="210"/>
      <c r="K16" s="210"/>
      <c r="L16" s="210"/>
      <c r="M16" s="238"/>
      <c r="N16" s="238"/>
    </row>
    <row r="17" spans="5:14" ht="24.75" thickTop="1" thickBot="1">
      <c r="E17" s="221"/>
      <c r="F17" s="210"/>
      <c r="G17" s="210"/>
      <c r="H17" s="210"/>
      <c r="I17" s="210"/>
      <c r="J17" s="210"/>
      <c r="K17" s="210"/>
      <c r="L17" s="210"/>
      <c r="M17" s="238"/>
      <c r="N17" s="238"/>
    </row>
    <row r="18" spans="5:14" ht="35.25" customHeight="1" thickTop="1" thickBot="1">
      <c r="E18" s="715" t="s">
        <v>211</v>
      </c>
      <c r="F18" s="716"/>
      <c r="G18" s="716"/>
      <c r="H18" s="716"/>
      <c r="I18" s="716"/>
      <c r="J18" s="716"/>
      <c r="K18" s="717"/>
      <c r="L18" s="177">
        <f>SUM(L6:L17)</f>
        <v>2630000</v>
      </c>
      <c r="M18" s="177">
        <f t="shared" ref="M18:N18" si="3">SUM(M6:M17)</f>
        <v>960000</v>
      </c>
      <c r="N18" s="177">
        <f t="shared" si="3"/>
        <v>362000</v>
      </c>
    </row>
    <row r="19" spans="5:14" ht="15.75" thickTop="1"/>
  </sheetData>
  <mergeCells count="2">
    <mergeCell ref="E18:K18"/>
    <mergeCell ref="E2:N3"/>
  </mergeCells>
  <hyperlinks>
    <hyperlink ref="E2:N3" r:id="rId1" location="'فهرست مطالب'!A1" display="جدول BOM  جهت محصولات    ..........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B1:N140"/>
  <sheetViews>
    <sheetView rightToLeft="1" topLeftCell="F78" zoomScale="90" zoomScaleNormal="90" workbookViewId="0">
      <selection activeCell="J91" sqref="J91"/>
    </sheetView>
  </sheetViews>
  <sheetFormatPr defaultColWidth="9" defaultRowHeight="26.25"/>
  <cols>
    <col min="1" max="2" width="9" style="1"/>
    <col min="3" max="3" width="16.140625" style="1" bestFit="1" customWidth="1"/>
    <col min="4" max="4" width="11.5703125" style="1" customWidth="1"/>
    <col min="5" max="5" width="3.42578125" style="1" bestFit="1" customWidth="1"/>
    <col min="6" max="6" width="28.140625" style="1" bestFit="1" customWidth="1"/>
    <col min="7" max="7" width="17.7109375" style="1" bestFit="1" customWidth="1"/>
    <col min="8" max="8" width="28.140625" style="1" bestFit="1" customWidth="1"/>
    <col min="9" max="9" width="9" style="1" customWidth="1"/>
    <col min="10" max="10" width="28.140625" style="1" customWidth="1"/>
    <col min="11" max="11" width="23.42578125" style="1" bestFit="1" customWidth="1"/>
    <col min="12" max="12" width="30.42578125" style="1" bestFit="1" customWidth="1"/>
    <col min="13" max="13" width="36.140625" style="1" bestFit="1" customWidth="1"/>
    <col min="14" max="16384" width="9" style="1"/>
  </cols>
  <sheetData>
    <row r="1" spans="2:14" ht="27" thickBot="1"/>
    <row r="2" spans="2:14" s="7" customFormat="1" ht="27" thickTop="1">
      <c r="B2" s="11"/>
      <c r="C2" s="12"/>
      <c r="D2" s="700" t="s">
        <v>786</v>
      </c>
      <c r="E2" s="700"/>
      <c r="F2" s="700"/>
      <c r="G2" s="700"/>
      <c r="H2" s="700"/>
      <c r="I2" s="700"/>
      <c r="J2" s="700"/>
      <c r="K2" s="700"/>
      <c r="L2" s="700"/>
      <c r="M2" s="12"/>
      <c r="N2" s="13"/>
    </row>
    <row r="3" spans="2:14">
      <c r="B3" s="14"/>
      <c r="C3" s="7"/>
      <c r="D3" s="701"/>
      <c r="E3" s="701"/>
      <c r="F3" s="701"/>
      <c r="G3" s="701"/>
      <c r="H3" s="701"/>
      <c r="I3" s="701"/>
      <c r="J3" s="701"/>
      <c r="K3" s="701"/>
      <c r="L3" s="701"/>
      <c r="M3" s="7"/>
      <c r="N3" s="15"/>
    </row>
    <row r="4" spans="2:14">
      <c r="B4" s="14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15"/>
    </row>
    <row r="5" spans="2:14">
      <c r="B5" s="14"/>
      <c r="C5" s="7" t="s">
        <v>186</v>
      </c>
      <c r="D5" s="697" t="s">
        <v>741</v>
      </c>
      <c r="E5" s="697"/>
      <c r="F5" s="697"/>
      <c r="G5" s="697"/>
      <c r="H5" s="697"/>
      <c r="I5" s="697"/>
      <c r="J5" s="697"/>
      <c r="K5" s="697"/>
      <c r="L5" s="697"/>
      <c r="M5" s="697"/>
      <c r="N5" s="15"/>
    </row>
    <row r="6" spans="2:14">
      <c r="B6" s="14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15"/>
    </row>
    <row r="7" spans="2:14">
      <c r="B7" s="14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15"/>
    </row>
    <row r="8" spans="2:14">
      <c r="B8" s="14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15"/>
    </row>
    <row r="9" spans="2:14" ht="27" thickBot="1">
      <c r="B9" s="14"/>
      <c r="C9" s="7"/>
      <c r="D9" s="7"/>
      <c r="E9" s="7"/>
      <c r="F9" s="7"/>
      <c r="G9" s="7"/>
      <c r="H9" s="7"/>
      <c r="I9" s="7"/>
      <c r="J9" s="455" t="s">
        <v>742</v>
      </c>
      <c r="K9" s="7"/>
      <c r="L9" s="7"/>
      <c r="M9" s="7"/>
      <c r="N9" s="15"/>
    </row>
    <row r="10" spans="2:14">
      <c r="B10" s="14"/>
      <c r="C10" s="7"/>
      <c r="D10" s="7"/>
      <c r="E10" s="7"/>
      <c r="F10" s="7"/>
      <c r="G10" s="7"/>
      <c r="H10" s="7"/>
      <c r="I10" s="7"/>
      <c r="J10" s="184" t="s">
        <v>188</v>
      </c>
      <c r="K10" s="7"/>
      <c r="L10" s="7"/>
      <c r="M10" s="7"/>
      <c r="N10" s="15"/>
    </row>
    <row r="11" spans="2:14">
      <c r="B11" s="14"/>
      <c r="C11" s="7"/>
      <c r="D11" s="7"/>
      <c r="E11" s="7"/>
      <c r="F11" s="697" t="s">
        <v>187</v>
      </c>
      <c r="G11" s="697"/>
      <c r="H11" s="697"/>
      <c r="I11" s="7"/>
      <c r="J11" s="179">
        <v>4800000000</v>
      </c>
      <c r="K11" s="7"/>
      <c r="L11" s="7"/>
      <c r="M11" s="7"/>
      <c r="N11" s="15"/>
    </row>
    <row r="12" spans="2:14" ht="27" thickBot="1">
      <c r="B12" s="14"/>
      <c r="C12" s="7"/>
      <c r="D12" s="7"/>
      <c r="E12" s="7"/>
      <c r="F12" s="697" t="s">
        <v>336</v>
      </c>
      <c r="G12" s="697"/>
      <c r="H12" s="697"/>
      <c r="I12" s="7"/>
      <c r="J12" s="179">
        <v>20750000</v>
      </c>
      <c r="K12" s="7"/>
      <c r="L12" s="7"/>
      <c r="M12" s="7"/>
      <c r="N12" s="15"/>
    </row>
    <row r="13" spans="2:14" ht="27.75" thickTop="1" thickBot="1">
      <c r="B13" s="14"/>
      <c r="C13" s="7"/>
      <c r="D13" s="7"/>
      <c r="E13" s="7"/>
      <c r="F13" s="705" t="s">
        <v>189</v>
      </c>
      <c r="G13" s="705"/>
      <c r="H13" s="705"/>
      <c r="I13" s="7"/>
      <c r="J13" s="2">
        <f>SUM(J11:J12)</f>
        <v>4820750000</v>
      </c>
      <c r="K13" s="7"/>
      <c r="L13" s="7"/>
      <c r="M13" s="7"/>
      <c r="N13" s="15"/>
    </row>
    <row r="14" spans="2:14" ht="27" thickTop="1">
      <c r="B14" s="14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15"/>
    </row>
    <row r="15" spans="2:14" s="7" customFormat="1">
      <c r="B15" s="14"/>
      <c r="N15" s="15"/>
    </row>
    <row r="16" spans="2:14">
      <c r="B16" s="14"/>
      <c r="C16" s="7" t="s">
        <v>190</v>
      </c>
      <c r="D16" s="697" t="s">
        <v>743</v>
      </c>
      <c r="E16" s="697"/>
      <c r="F16" s="697"/>
      <c r="G16" s="697"/>
      <c r="H16" s="697"/>
      <c r="I16" s="697"/>
      <c r="J16" s="697"/>
      <c r="K16" s="697"/>
      <c r="L16" s="697"/>
      <c r="M16" s="697"/>
      <c r="N16" s="15"/>
    </row>
    <row r="17" spans="2:14">
      <c r="B17" s="14"/>
      <c r="C17" s="7"/>
      <c r="D17" s="697" t="s">
        <v>721</v>
      </c>
      <c r="E17" s="697"/>
      <c r="F17" s="697"/>
      <c r="G17" s="697"/>
      <c r="H17" s="697"/>
      <c r="I17" s="697"/>
      <c r="J17" s="697"/>
      <c r="K17" s="697"/>
      <c r="L17" s="697"/>
      <c r="M17" s="697"/>
      <c r="N17" s="15"/>
    </row>
    <row r="18" spans="2:14">
      <c r="B18" s="14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15"/>
    </row>
    <row r="19" spans="2:14" ht="27" thickBot="1">
      <c r="B19" s="14"/>
      <c r="C19" s="7"/>
      <c r="D19" s="7"/>
      <c r="E19" s="7"/>
      <c r="F19" s="7"/>
      <c r="G19" s="7"/>
      <c r="H19" s="7"/>
      <c r="I19" s="7"/>
      <c r="J19" s="183" t="str">
        <f>J9</f>
        <v>29/12/1396</v>
      </c>
      <c r="K19" s="7"/>
      <c r="L19" s="7"/>
      <c r="M19" s="7"/>
      <c r="N19" s="15"/>
    </row>
    <row r="20" spans="2:14">
      <c r="B20" s="14"/>
      <c r="C20" s="7"/>
      <c r="D20" s="7"/>
      <c r="E20" s="7"/>
      <c r="F20" s="7"/>
      <c r="G20" s="7"/>
      <c r="H20" s="7"/>
      <c r="I20" s="7"/>
      <c r="J20" s="184" t="s">
        <v>188</v>
      </c>
      <c r="K20" s="7"/>
      <c r="L20" s="7"/>
      <c r="M20" s="7"/>
      <c r="N20" s="15"/>
    </row>
    <row r="21" spans="2:14" ht="27" thickBot="1">
      <c r="B21" s="14"/>
      <c r="C21" s="7"/>
      <c r="D21" s="705" t="s">
        <v>320</v>
      </c>
      <c r="E21" s="705"/>
      <c r="F21" s="705"/>
      <c r="G21" s="705"/>
      <c r="H21" s="705"/>
      <c r="I21" s="7"/>
      <c r="J21" s="179">
        <v>2500000000</v>
      </c>
      <c r="K21" s="7"/>
      <c r="L21" s="7"/>
      <c r="M21" s="7"/>
      <c r="N21" s="15"/>
    </row>
    <row r="22" spans="2:14" ht="27.75" thickTop="1" thickBot="1">
      <c r="B22" s="14"/>
      <c r="C22" s="7"/>
      <c r="D22" s="7"/>
      <c r="E22" s="7"/>
      <c r="F22" s="7" t="s">
        <v>12</v>
      </c>
      <c r="G22" s="7"/>
      <c r="H22" s="7"/>
      <c r="I22" s="7"/>
      <c r="J22" s="2">
        <f>SUM(J20:J21)</f>
        <v>2500000000</v>
      </c>
      <c r="K22" s="7"/>
      <c r="L22" s="7"/>
      <c r="M22" s="7"/>
      <c r="N22" s="15"/>
    </row>
    <row r="23" spans="2:14" ht="27" thickTop="1">
      <c r="B23" s="14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15"/>
    </row>
    <row r="24" spans="2:14">
      <c r="B24" s="14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15"/>
    </row>
    <row r="25" spans="2:14" s="7" customFormat="1">
      <c r="B25" s="14"/>
      <c r="N25" s="15"/>
    </row>
    <row r="26" spans="2:14">
      <c r="B26" s="14"/>
      <c r="C26" s="7" t="s">
        <v>191</v>
      </c>
      <c r="D26" s="706" t="s">
        <v>744</v>
      </c>
      <c r="E26" s="706"/>
      <c r="F26" s="706"/>
      <c r="G26" s="706"/>
      <c r="H26" s="706"/>
      <c r="I26" s="706"/>
      <c r="J26" s="706"/>
      <c r="K26" s="706"/>
      <c r="L26" s="706"/>
      <c r="M26" s="706"/>
      <c r="N26" s="15"/>
    </row>
    <row r="27" spans="2:14">
      <c r="B27" s="14"/>
      <c r="C27" s="7"/>
      <c r="D27" s="706"/>
      <c r="E27" s="706"/>
      <c r="F27" s="706"/>
      <c r="G27" s="706"/>
      <c r="H27" s="706"/>
      <c r="I27" s="706"/>
      <c r="J27" s="706"/>
      <c r="K27" s="706"/>
      <c r="L27" s="706"/>
      <c r="M27" s="706"/>
      <c r="N27" s="15"/>
    </row>
    <row r="28" spans="2:14">
      <c r="B28" s="14"/>
      <c r="C28" s="7"/>
      <c r="D28" s="705"/>
      <c r="E28" s="705"/>
      <c r="F28" s="705"/>
      <c r="G28" s="705"/>
      <c r="H28" s="705"/>
      <c r="I28" s="705"/>
      <c r="J28" s="705"/>
      <c r="K28" s="705"/>
      <c r="L28" s="705"/>
      <c r="M28" s="705"/>
      <c r="N28" s="15"/>
    </row>
    <row r="29" spans="2:14" ht="27" thickBot="1">
      <c r="B29" s="14"/>
      <c r="C29" s="7"/>
      <c r="D29" s="7"/>
      <c r="E29" s="7"/>
      <c r="F29" s="7"/>
      <c r="G29" s="7"/>
      <c r="H29" s="7"/>
      <c r="I29" s="7"/>
      <c r="J29" s="183" t="str">
        <f>J19</f>
        <v>29/12/1396</v>
      </c>
      <c r="K29" s="7"/>
      <c r="L29" s="7"/>
      <c r="M29" s="7"/>
      <c r="N29" s="15"/>
    </row>
    <row r="30" spans="2:14">
      <c r="B30" s="14"/>
      <c r="C30" s="7"/>
      <c r="D30" s="7"/>
      <c r="E30" s="7"/>
      <c r="F30" s="7"/>
      <c r="G30" s="7"/>
      <c r="H30" s="7"/>
      <c r="I30" s="7"/>
      <c r="J30" s="184" t="s">
        <v>188</v>
      </c>
      <c r="K30" s="7"/>
      <c r="L30" s="7"/>
      <c r="M30" s="7"/>
      <c r="N30" s="15"/>
    </row>
    <row r="31" spans="2:14" ht="27" thickBot="1">
      <c r="B31" s="14"/>
      <c r="C31" s="7"/>
      <c r="D31" s="7"/>
      <c r="E31" s="7"/>
      <c r="F31" s="7" t="s">
        <v>192</v>
      </c>
      <c r="G31" s="185" t="s">
        <v>198</v>
      </c>
      <c r="H31" s="7"/>
      <c r="I31" s="7"/>
      <c r="J31" s="34">
        <v>2000000000</v>
      </c>
      <c r="K31" s="7"/>
      <c r="L31" s="7"/>
      <c r="M31" s="7"/>
      <c r="N31" s="15"/>
    </row>
    <row r="32" spans="2:14" ht="27.75" thickTop="1" thickBot="1">
      <c r="B32" s="14"/>
      <c r="C32" s="7"/>
      <c r="D32" s="7"/>
      <c r="E32" s="7"/>
      <c r="F32" s="7" t="s">
        <v>189</v>
      </c>
      <c r="G32" s="7"/>
      <c r="H32" s="7"/>
      <c r="I32" s="7"/>
      <c r="J32" s="35">
        <f>SUM(J30:J31)</f>
        <v>2000000000</v>
      </c>
      <c r="K32" s="7"/>
      <c r="L32" s="7"/>
      <c r="M32" s="7"/>
      <c r="N32" s="15"/>
    </row>
    <row r="33" spans="2:14" ht="27" thickTop="1">
      <c r="B33" s="14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15"/>
    </row>
    <row r="34" spans="2:14" s="7" customFormat="1">
      <c r="B34" s="14"/>
      <c r="N34" s="15"/>
    </row>
    <row r="35" spans="2:14">
      <c r="B35" s="14"/>
      <c r="C35" s="7" t="s">
        <v>205</v>
      </c>
      <c r="D35" s="698" t="s">
        <v>745</v>
      </c>
      <c r="E35" s="698"/>
      <c r="F35" s="698"/>
      <c r="G35" s="698"/>
      <c r="H35" s="698"/>
      <c r="I35" s="698"/>
      <c r="J35" s="698"/>
      <c r="K35" s="698"/>
      <c r="L35" s="698"/>
      <c r="M35" s="698"/>
      <c r="N35" s="15"/>
    </row>
    <row r="36" spans="2:14">
      <c r="B36" s="14"/>
      <c r="C36" s="7"/>
      <c r="D36" s="698"/>
      <c r="E36" s="698"/>
      <c r="F36" s="698"/>
      <c r="G36" s="698"/>
      <c r="H36" s="698"/>
      <c r="I36" s="698"/>
      <c r="J36" s="698"/>
      <c r="K36" s="698"/>
      <c r="L36" s="698"/>
      <c r="M36" s="698"/>
      <c r="N36" s="15"/>
    </row>
    <row r="37" spans="2:14" ht="27" thickBot="1">
      <c r="B37" s="14"/>
      <c r="C37" s="7"/>
      <c r="D37" s="186"/>
      <c r="E37" s="186"/>
      <c r="F37" s="186"/>
      <c r="G37" s="186"/>
      <c r="H37" s="186"/>
      <c r="I37" s="186"/>
      <c r="J37" s="183" t="str">
        <f>J29</f>
        <v>29/12/1396</v>
      </c>
      <c r="K37" s="186"/>
      <c r="L37" s="186"/>
      <c r="M37" s="186"/>
      <c r="N37" s="15"/>
    </row>
    <row r="38" spans="2:14">
      <c r="B38" s="14"/>
      <c r="C38" s="7"/>
      <c r="D38" s="186"/>
      <c r="E38" s="186"/>
      <c r="F38" s="186"/>
      <c r="G38" s="186"/>
      <c r="H38" s="186"/>
      <c r="I38" s="186"/>
      <c r="J38" s="184" t="s">
        <v>188</v>
      </c>
      <c r="K38" s="186"/>
      <c r="L38" s="186"/>
      <c r="M38" s="186"/>
      <c r="N38" s="15"/>
    </row>
    <row r="39" spans="2:14" ht="27" thickBot="1">
      <c r="B39" s="14"/>
      <c r="C39" s="7"/>
      <c r="D39" s="186"/>
      <c r="E39" s="186"/>
      <c r="F39" s="186" t="s">
        <v>243</v>
      </c>
      <c r="G39" s="186"/>
      <c r="H39" s="186"/>
      <c r="I39" s="186"/>
      <c r="J39" s="34">
        <v>750000000</v>
      </c>
      <c r="K39" s="186"/>
      <c r="L39" s="186"/>
      <c r="M39" s="186"/>
      <c r="N39" s="15"/>
    </row>
    <row r="40" spans="2:14" ht="27.75" thickTop="1" thickBot="1">
      <c r="B40" s="14"/>
      <c r="C40" s="7"/>
      <c r="D40" s="186"/>
      <c r="E40" s="186"/>
      <c r="F40" s="186" t="s">
        <v>12</v>
      </c>
      <c r="G40" s="186"/>
      <c r="H40" s="186"/>
      <c r="I40" s="186"/>
      <c r="J40" s="35">
        <f>SUM(J38:J39)</f>
        <v>750000000</v>
      </c>
      <c r="K40" s="186"/>
      <c r="L40" s="186"/>
      <c r="M40" s="186"/>
      <c r="N40" s="15"/>
    </row>
    <row r="41" spans="2:14" ht="27" thickTop="1">
      <c r="B41" s="14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15"/>
    </row>
    <row r="42" spans="2:14">
      <c r="B42" s="14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15"/>
    </row>
    <row r="43" spans="2:14" s="7" customFormat="1">
      <c r="B43" s="14"/>
      <c r="C43" s="7" t="s">
        <v>202</v>
      </c>
      <c r="D43" s="699" t="s">
        <v>746</v>
      </c>
      <c r="E43" s="699"/>
      <c r="F43" s="699"/>
      <c r="G43" s="699"/>
      <c r="H43" s="699"/>
      <c r="I43" s="699"/>
      <c r="J43" s="699"/>
      <c r="K43" s="699"/>
      <c r="L43" s="699"/>
      <c r="M43" s="699"/>
      <c r="N43" s="15"/>
    </row>
    <row r="44" spans="2:14">
      <c r="B44" s="14"/>
      <c r="C44" s="7"/>
      <c r="D44" s="699"/>
      <c r="E44" s="699"/>
      <c r="F44" s="699"/>
      <c r="G44" s="699"/>
      <c r="H44" s="699"/>
      <c r="I44" s="699"/>
      <c r="J44" s="699"/>
      <c r="K44" s="699"/>
      <c r="L44" s="699"/>
      <c r="M44" s="699"/>
      <c r="N44" s="15"/>
    </row>
    <row r="45" spans="2:14" ht="27" thickBot="1">
      <c r="B45" s="14"/>
      <c r="C45" s="7"/>
      <c r="D45" s="7"/>
      <c r="E45" s="7"/>
      <c r="F45" s="7"/>
      <c r="G45" s="7"/>
      <c r="H45" s="7"/>
      <c r="I45" s="7"/>
      <c r="J45" s="183" t="str">
        <f>J37</f>
        <v>29/12/1396</v>
      </c>
      <c r="K45" s="7"/>
      <c r="L45" s="7"/>
      <c r="M45" s="7"/>
      <c r="N45" s="15"/>
    </row>
    <row r="46" spans="2:14">
      <c r="B46" s="14"/>
      <c r="C46" s="7"/>
      <c r="D46" s="7"/>
      <c r="E46" s="7"/>
      <c r="F46" s="7"/>
      <c r="G46" s="7"/>
      <c r="H46" s="7"/>
      <c r="I46" s="7"/>
      <c r="J46" s="184" t="s">
        <v>188</v>
      </c>
      <c r="K46" s="7"/>
      <c r="L46" s="7"/>
      <c r="M46" s="7"/>
      <c r="N46" s="15"/>
    </row>
    <row r="47" spans="2:14">
      <c r="B47" s="14"/>
      <c r="C47" s="7"/>
      <c r="D47" s="7"/>
      <c r="E47" s="7"/>
      <c r="F47" s="7" t="s">
        <v>196</v>
      </c>
      <c r="G47" s="179" t="s">
        <v>203</v>
      </c>
      <c r="H47" s="7"/>
      <c r="I47" s="7"/>
      <c r="J47" s="7">
        <f>'اطاعات تفصیلی سال قبل'!S24</f>
        <v>2850000000</v>
      </c>
      <c r="K47" s="7"/>
      <c r="L47" s="7"/>
      <c r="M47" s="7"/>
      <c r="N47" s="15"/>
    </row>
    <row r="48" spans="2:14" ht="27" thickBot="1">
      <c r="B48" s="14"/>
      <c r="C48" s="7"/>
      <c r="D48" s="7"/>
      <c r="E48" s="7"/>
      <c r="F48" s="7" t="s">
        <v>197</v>
      </c>
      <c r="G48" s="179" t="s">
        <v>204</v>
      </c>
      <c r="H48" s="7"/>
      <c r="I48" s="7"/>
      <c r="J48" s="7">
        <f>'اطاعات تفصیلی سال قبل'!S34</f>
        <v>2105000000</v>
      </c>
      <c r="K48" s="7"/>
      <c r="L48" s="7"/>
      <c r="M48" s="7"/>
      <c r="N48" s="15"/>
    </row>
    <row r="49" spans="2:14" ht="27" thickBot="1">
      <c r="B49" s="14"/>
      <c r="C49" s="7"/>
      <c r="D49" s="7"/>
      <c r="E49" s="7"/>
      <c r="F49" s="7"/>
      <c r="G49" s="7"/>
      <c r="H49" s="7"/>
      <c r="I49" s="7"/>
      <c r="J49" s="4">
        <f>SUM(J47:J48)</f>
        <v>4955000000</v>
      </c>
      <c r="K49" s="7"/>
      <c r="L49" s="7"/>
      <c r="M49" s="7"/>
      <c r="N49" s="15"/>
    </row>
    <row r="50" spans="2:14" ht="27" thickTop="1">
      <c r="B50" s="14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15"/>
    </row>
    <row r="51" spans="2:14" s="7" customFormat="1">
      <c r="B51" s="14"/>
      <c r="C51" s="7" t="s">
        <v>771</v>
      </c>
      <c r="D51" s="697" t="s">
        <v>772</v>
      </c>
      <c r="E51" s="697"/>
      <c r="F51" s="697"/>
      <c r="G51" s="697"/>
      <c r="H51" s="697"/>
      <c r="I51" s="697"/>
      <c r="J51" s="697"/>
      <c r="K51" s="697"/>
      <c r="L51" s="697"/>
      <c r="M51" s="697"/>
      <c r="N51" s="15"/>
    </row>
    <row r="52" spans="2:14">
      <c r="B52" s="14"/>
      <c r="C52" s="7"/>
      <c r="D52" s="178"/>
      <c r="E52" s="178"/>
      <c r="F52" s="178"/>
      <c r="G52" s="178"/>
      <c r="H52" s="178"/>
      <c r="I52" s="178"/>
      <c r="J52" s="178"/>
      <c r="K52" s="178"/>
      <c r="L52" s="178"/>
      <c r="M52" s="178"/>
      <c r="N52" s="15"/>
    </row>
    <row r="53" spans="2:14" ht="27" thickBot="1">
      <c r="B53" s="14"/>
      <c r="C53" s="7"/>
      <c r="D53" s="178"/>
      <c r="E53" s="178"/>
      <c r="F53" s="178"/>
      <c r="G53" s="178"/>
      <c r="H53" s="178"/>
      <c r="I53" s="178"/>
      <c r="J53" s="187" t="str">
        <f>J45</f>
        <v>29/12/1396</v>
      </c>
      <c r="K53" s="178"/>
      <c r="L53" s="178"/>
      <c r="M53" s="178"/>
      <c r="N53" s="15"/>
    </row>
    <row r="54" spans="2:14" ht="27" thickTop="1">
      <c r="B54" s="14"/>
      <c r="C54" s="7"/>
      <c r="D54" s="178"/>
      <c r="E54" s="178"/>
      <c r="F54" s="178"/>
      <c r="G54" s="178"/>
      <c r="H54" s="178"/>
      <c r="I54" s="178"/>
      <c r="J54" s="184" t="s">
        <v>293</v>
      </c>
      <c r="K54" s="178"/>
      <c r="L54" s="178"/>
      <c r="M54" s="178"/>
      <c r="N54" s="15"/>
    </row>
    <row r="55" spans="2:14" ht="27" thickBot="1">
      <c r="B55" s="14"/>
      <c r="C55" s="7"/>
      <c r="D55" s="178"/>
      <c r="E55" s="178"/>
      <c r="F55" s="697" t="s">
        <v>294</v>
      </c>
      <c r="G55" s="697"/>
      <c r="H55" s="697"/>
      <c r="I55" s="178"/>
      <c r="J55" s="178">
        <f>'اطاعات تفصیلی سال قبل'!M53</f>
        <v>45400000000</v>
      </c>
      <c r="K55" s="178"/>
      <c r="L55" s="178"/>
      <c r="M55" s="178"/>
      <c r="N55" s="15"/>
    </row>
    <row r="56" spans="2:14" ht="27" thickBot="1">
      <c r="B56" s="14"/>
      <c r="C56" s="7"/>
      <c r="D56" s="7"/>
      <c r="E56" s="7"/>
      <c r="F56" s="7" t="s">
        <v>12</v>
      </c>
      <c r="G56" s="7"/>
      <c r="H56" s="7"/>
      <c r="I56" s="7"/>
      <c r="J56" s="4">
        <f>SUM(J55)</f>
        <v>45400000000</v>
      </c>
      <c r="K56" s="7"/>
      <c r="L56" s="7"/>
      <c r="M56" s="7"/>
      <c r="N56" s="15"/>
    </row>
    <row r="57" spans="2:14" ht="27" thickTop="1">
      <c r="B57" s="14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15"/>
    </row>
    <row r="58" spans="2:14" s="7" customFormat="1">
      <c r="B58" s="14"/>
      <c r="C58" s="7" t="s">
        <v>773</v>
      </c>
      <c r="D58" s="697" t="s">
        <v>747</v>
      </c>
      <c r="E58" s="697"/>
      <c r="F58" s="697"/>
      <c r="G58" s="697"/>
      <c r="H58" s="697"/>
      <c r="I58" s="697"/>
      <c r="J58" s="697"/>
      <c r="K58" s="697"/>
      <c r="L58" s="697"/>
      <c r="M58" s="697"/>
      <c r="N58" s="15"/>
    </row>
    <row r="59" spans="2:14">
      <c r="B59" s="14"/>
      <c r="C59" s="7"/>
      <c r="D59" s="178"/>
      <c r="E59" s="178"/>
      <c r="F59" s="178"/>
      <c r="G59" s="178"/>
      <c r="H59" s="178"/>
      <c r="I59" s="178"/>
      <c r="J59" s="178"/>
      <c r="K59" s="178"/>
      <c r="L59" s="178"/>
      <c r="M59" s="178"/>
      <c r="N59" s="15"/>
    </row>
    <row r="60" spans="2:14" ht="27" thickBot="1">
      <c r="B60" s="14"/>
      <c r="C60" s="7"/>
      <c r="D60" s="178"/>
      <c r="E60" s="178"/>
      <c r="F60" s="178"/>
      <c r="G60" s="178"/>
      <c r="H60" s="178"/>
      <c r="I60" s="178"/>
      <c r="J60" s="183" t="str">
        <f>J53</f>
        <v>29/12/1396</v>
      </c>
      <c r="K60" s="178"/>
      <c r="L60" s="178"/>
      <c r="M60" s="178"/>
      <c r="N60" s="15"/>
    </row>
    <row r="61" spans="2:14">
      <c r="B61" s="14"/>
      <c r="C61" s="7"/>
      <c r="D61" s="178"/>
      <c r="E61" s="178"/>
      <c r="F61" s="178"/>
      <c r="G61" s="178"/>
      <c r="H61" s="178"/>
      <c r="I61" s="178"/>
      <c r="J61" s="184" t="s">
        <v>188</v>
      </c>
      <c r="K61" s="178"/>
      <c r="L61" s="178"/>
      <c r="M61" s="178"/>
      <c r="N61" s="15"/>
    </row>
    <row r="62" spans="2:14" ht="27" thickBot="1">
      <c r="B62" s="14"/>
      <c r="C62" s="7"/>
      <c r="D62" s="178"/>
      <c r="E62" s="178"/>
      <c r="F62" s="178" t="s">
        <v>244</v>
      </c>
      <c r="G62" s="178"/>
      <c r="H62" s="178"/>
      <c r="I62" s="178"/>
      <c r="J62" s="179">
        <v>679250000</v>
      </c>
      <c r="K62" s="178"/>
      <c r="L62" s="178"/>
      <c r="M62" s="178"/>
      <c r="N62" s="15"/>
    </row>
    <row r="63" spans="2:14" ht="27" thickBot="1">
      <c r="B63" s="14"/>
      <c r="C63" s="7"/>
      <c r="D63" s="7"/>
      <c r="E63" s="7"/>
      <c r="F63" s="7" t="s">
        <v>12</v>
      </c>
      <c r="G63" s="7"/>
      <c r="H63" s="7"/>
      <c r="I63" s="7"/>
      <c r="J63" s="40">
        <f>SUM(J62)</f>
        <v>679250000</v>
      </c>
      <c r="K63" s="7"/>
      <c r="L63" s="7"/>
      <c r="M63" s="7"/>
      <c r="N63" s="15"/>
    </row>
    <row r="64" spans="2:14" ht="27" thickTop="1">
      <c r="B64" s="14"/>
      <c r="C64" s="7"/>
      <c r="D64" s="7"/>
      <c r="E64" s="7"/>
      <c r="F64" s="7"/>
      <c r="G64" s="7"/>
      <c r="H64" s="7"/>
      <c r="I64" s="7"/>
      <c r="K64" s="7"/>
      <c r="L64" s="7"/>
      <c r="M64" s="7"/>
      <c r="N64" s="15"/>
    </row>
    <row r="65" spans="2:14">
      <c r="B65" s="14"/>
      <c r="C65" s="7" t="s">
        <v>216</v>
      </c>
      <c r="D65" s="697" t="s">
        <v>774</v>
      </c>
      <c r="E65" s="697"/>
      <c r="F65" s="697"/>
      <c r="G65" s="697"/>
      <c r="H65" s="697"/>
      <c r="I65" s="697"/>
      <c r="J65" s="697"/>
      <c r="K65" s="697"/>
      <c r="L65" s="697"/>
      <c r="M65" s="697"/>
      <c r="N65" s="15"/>
    </row>
    <row r="66" spans="2:14" ht="27" thickBot="1">
      <c r="B66" s="14"/>
      <c r="C66" s="7"/>
      <c r="D66" s="178"/>
      <c r="E66" s="178"/>
      <c r="F66" s="178"/>
      <c r="G66" s="178"/>
      <c r="H66" s="178"/>
      <c r="I66" s="178"/>
      <c r="J66" s="179" t="str">
        <f>J60</f>
        <v>29/12/1396</v>
      </c>
      <c r="K66" s="178"/>
      <c r="L66" s="178"/>
      <c r="M66" s="178"/>
      <c r="N66" s="15"/>
    </row>
    <row r="67" spans="2:14" ht="27" thickTop="1">
      <c r="B67" s="14"/>
      <c r="C67" s="7"/>
      <c r="D67" s="178"/>
      <c r="E67" s="178"/>
      <c r="F67" s="178"/>
      <c r="G67" s="178"/>
      <c r="H67" s="178"/>
      <c r="I67" s="178"/>
      <c r="J67" s="188" t="s">
        <v>293</v>
      </c>
      <c r="K67" s="178"/>
      <c r="L67" s="178"/>
      <c r="M67" s="178"/>
      <c r="N67" s="15"/>
    </row>
    <row r="68" spans="2:14" ht="27" thickBot="1">
      <c r="B68" s="14"/>
      <c r="C68" s="7"/>
      <c r="D68" s="178"/>
      <c r="E68" s="178"/>
      <c r="F68" s="178" t="s">
        <v>295</v>
      </c>
      <c r="G68" s="178"/>
      <c r="H68" s="178"/>
      <c r="I68" s="178"/>
      <c r="J68" s="179">
        <f>'اطاعات تفصیلی سال قبل'!I67</f>
        <v>4649500000</v>
      </c>
      <c r="K68" s="178"/>
      <c r="L68" s="178"/>
      <c r="M68" s="178"/>
      <c r="N68" s="15"/>
    </row>
    <row r="69" spans="2:14" ht="27" thickBot="1">
      <c r="B69" s="14"/>
      <c r="C69" s="7"/>
      <c r="D69" s="178"/>
      <c r="E69" s="178"/>
      <c r="F69" s="178" t="s">
        <v>12</v>
      </c>
      <c r="G69" s="178"/>
      <c r="H69" s="178"/>
      <c r="I69" s="178"/>
      <c r="J69" s="40">
        <f>SUM(J68)</f>
        <v>4649500000</v>
      </c>
      <c r="K69" s="178"/>
      <c r="L69" s="178"/>
      <c r="M69" s="178"/>
      <c r="N69" s="15"/>
    </row>
    <row r="70" spans="2:14" ht="27" thickTop="1">
      <c r="B70" s="14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15"/>
    </row>
    <row r="71" spans="2:14">
      <c r="B71" s="14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15"/>
    </row>
    <row r="72" spans="2:14" ht="60.75" customHeight="1">
      <c r="B72" s="14"/>
      <c r="C72" s="16" t="s">
        <v>775</v>
      </c>
      <c r="D72" s="698" t="s">
        <v>776</v>
      </c>
      <c r="E72" s="698"/>
      <c r="F72" s="698"/>
      <c r="G72" s="698"/>
      <c r="H72" s="698"/>
      <c r="I72" s="698"/>
      <c r="J72" s="698"/>
      <c r="K72" s="698"/>
      <c r="L72" s="698"/>
      <c r="M72" s="698"/>
      <c r="N72" s="15"/>
    </row>
    <row r="73" spans="2:14" ht="27.75" customHeight="1" thickBot="1">
      <c r="B73" s="14"/>
      <c r="C73" s="16"/>
      <c r="D73" s="186"/>
      <c r="E73" s="186"/>
      <c r="F73" s="186"/>
      <c r="G73" s="186"/>
      <c r="H73" s="186"/>
      <c r="I73" s="186"/>
      <c r="J73" s="183" t="str">
        <f>J66</f>
        <v>29/12/1396</v>
      </c>
      <c r="K73" s="186"/>
      <c r="L73" s="186"/>
      <c r="M73" s="186"/>
      <c r="N73" s="15"/>
    </row>
    <row r="74" spans="2:14" ht="20.25" customHeight="1">
      <c r="B74" s="14"/>
      <c r="C74" s="16"/>
      <c r="D74" s="186"/>
      <c r="E74" s="186"/>
      <c r="F74" s="186"/>
      <c r="G74" s="186"/>
      <c r="H74" s="186"/>
      <c r="I74" s="186"/>
      <c r="J74" s="184" t="s">
        <v>188</v>
      </c>
      <c r="K74" s="186"/>
      <c r="L74" s="186"/>
      <c r="M74" s="186"/>
      <c r="N74" s="15"/>
    </row>
    <row r="75" spans="2:14" ht="33.75" customHeight="1" thickBot="1">
      <c r="B75" s="14"/>
      <c r="C75" s="16"/>
      <c r="D75" s="186"/>
      <c r="E75" s="186"/>
      <c r="F75" s="186" t="s">
        <v>245</v>
      </c>
      <c r="G75" s="186"/>
      <c r="H75" s="186"/>
      <c r="I75" s="186"/>
      <c r="J75" s="179">
        <v>1875000000</v>
      </c>
      <c r="K75" s="186"/>
      <c r="L75" s="186"/>
      <c r="M75" s="186"/>
      <c r="N75" s="15"/>
    </row>
    <row r="76" spans="2:14" ht="27" thickBot="1">
      <c r="B76" s="14"/>
      <c r="C76" s="7"/>
      <c r="D76" s="7"/>
      <c r="E76" s="7"/>
      <c r="F76" s="7" t="s">
        <v>12</v>
      </c>
      <c r="G76" s="7"/>
      <c r="H76" s="7"/>
      <c r="I76" s="7"/>
      <c r="J76" s="40">
        <f>SUM(J75)</f>
        <v>1875000000</v>
      </c>
      <c r="K76" s="7"/>
      <c r="L76" s="7"/>
      <c r="M76" s="7"/>
      <c r="N76" s="15"/>
    </row>
    <row r="77" spans="2:14" ht="27" thickTop="1">
      <c r="B77" s="14"/>
      <c r="C77" s="7"/>
      <c r="D77" s="7"/>
      <c r="E77" s="7"/>
      <c r="F77" s="7"/>
      <c r="G77" s="7"/>
      <c r="H77" s="7"/>
      <c r="I77" s="7"/>
      <c r="J77" s="179"/>
      <c r="K77" s="7"/>
      <c r="L77" s="7"/>
      <c r="M77" s="7"/>
      <c r="N77" s="15"/>
    </row>
    <row r="78" spans="2:14" ht="66" customHeight="1">
      <c r="B78" s="14"/>
      <c r="C78" s="16" t="s">
        <v>777</v>
      </c>
      <c r="D78" s="698" t="s">
        <v>748</v>
      </c>
      <c r="E78" s="698"/>
      <c r="F78" s="698"/>
      <c r="G78" s="698"/>
      <c r="H78" s="698"/>
      <c r="I78" s="698"/>
      <c r="J78" s="698"/>
      <c r="K78" s="698"/>
      <c r="L78" s="698"/>
      <c r="M78" s="698"/>
      <c r="N78" s="15"/>
    </row>
    <row r="79" spans="2:14" ht="31.5" customHeight="1" thickBot="1">
      <c r="B79" s="14"/>
      <c r="C79" s="16"/>
      <c r="D79" s="186"/>
      <c r="E79" s="186"/>
      <c r="F79" s="186"/>
      <c r="G79" s="186"/>
      <c r="H79" s="186"/>
      <c r="I79" s="186"/>
      <c r="J79" s="249" t="s">
        <v>742</v>
      </c>
      <c r="K79" s="186"/>
      <c r="L79" s="186"/>
      <c r="M79" s="186"/>
      <c r="N79" s="15"/>
    </row>
    <row r="80" spans="2:14" ht="30" customHeight="1">
      <c r="B80" s="14"/>
      <c r="C80" s="16"/>
      <c r="D80" s="186"/>
      <c r="E80" s="186"/>
      <c r="F80" s="186"/>
      <c r="G80" s="186"/>
      <c r="H80" s="186"/>
      <c r="I80" s="186"/>
      <c r="J80" s="184" t="s">
        <v>188</v>
      </c>
      <c r="K80" s="186"/>
      <c r="L80" s="186"/>
      <c r="M80" s="186"/>
      <c r="N80" s="15"/>
    </row>
    <row r="81" spans="2:14" ht="30" customHeight="1" thickBot="1">
      <c r="B81" s="14"/>
      <c r="C81" s="16"/>
      <c r="D81" s="186"/>
      <c r="E81" s="186"/>
      <c r="F81" s="186"/>
      <c r="G81" s="186"/>
      <c r="H81" s="186"/>
      <c r="I81" s="186"/>
      <c r="J81" s="179">
        <v>562500000</v>
      </c>
      <c r="K81" s="186"/>
      <c r="L81" s="186"/>
      <c r="M81" s="186"/>
      <c r="N81" s="15"/>
    </row>
    <row r="82" spans="2:14" ht="27" thickBot="1">
      <c r="B82" s="14"/>
      <c r="C82" s="7"/>
      <c r="D82" s="7"/>
      <c r="E82" s="7"/>
      <c r="F82" s="7"/>
      <c r="G82" s="7"/>
      <c r="H82" s="7"/>
      <c r="I82" s="7"/>
      <c r="J82" s="40">
        <f>SUM(J81)</f>
        <v>562500000</v>
      </c>
      <c r="K82" s="7"/>
      <c r="L82" s="7"/>
      <c r="M82" s="7"/>
      <c r="N82" s="15"/>
    </row>
    <row r="83" spans="2:14" ht="27" thickTop="1">
      <c r="B83" s="14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15"/>
    </row>
    <row r="84" spans="2:14" s="5" customFormat="1" ht="77.25" customHeight="1" thickBot="1">
      <c r="B84" s="17"/>
      <c r="C84" s="18" t="s">
        <v>778</v>
      </c>
      <c r="D84" s="702" t="s">
        <v>749</v>
      </c>
      <c r="E84" s="702"/>
      <c r="F84" s="702"/>
      <c r="G84" s="702"/>
      <c r="H84" s="702"/>
      <c r="I84" s="702"/>
      <c r="J84" s="702"/>
      <c r="K84" s="702"/>
      <c r="L84" s="702"/>
      <c r="M84" s="702"/>
      <c r="N84" s="19"/>
    </row>
    <row r="85" spans="2:14" ht="27.75" thickTop="1" thickBot="1">
      <c r="B85" s="14"/>
      <c r="C85" s="7"/>
      <c r="D85" s="7"/>
      <c r="E85" s="7"/>
      <c r="F85" s="7"/>
      <c r="G85" s="7"/>
      <c r="H85" s="183" t="str">
        <f>J79</f>
        <v>29/12/1396</v>
      </c>
      <c r="I85" s="179"/>
      <c r="J85" s="183" t="str">
        <f>J79</f>
        <v>29/12/1396</v>
      </c>
      <c r="K85" s="7"/>
      <c r="L85" s="703" t="s">
        <v>226</v>
      </c>
      <c r="M85" s="704"/>
      <c r="N85" s="15"/>
    </row>
    <row r="86" spans="2:14" ht="27.75" thickTop="1" thickBot="1">
      <c r="B86" s="14"/>
      <c r="C86" s="7"/>
      <c r="D86" s="7"/>
      <c r="E86" s="7"/>
      <c r="G86" s="7"/>
      <c r="H86" s="184" t="s">
        <v>247</v>
      </c>
      <c r="I86" s="179"/>
      <c r="J86" s="184" t="s">
        <v>246</v>
      </c>
      <c r="K86" s="7"/>
      <c r="L86" s="6">
        <v>15600000000</v>
      </c>
      <c r="M86" s="6" t="s">
        <v>217</v>
      </c>
      <c r="N86" s="15"/>
    </row>
    <row r="87" spans="2:14" ht="27.75" thickTop="1" thickBot="1">
      <c r="B87" s="14"/>
      <c r="C87" s="7"/>
      <c r="D87" s="7"/>
      <c r="E87" s="7"/>
      <c r="F87" s="7"/>
      <c r="G87" s="7"/>
      <c r="H87" s="179">
        <f>J87*5</f>
        <v>13000000000</v>
      </c>
      <c r="I87" s="179"/>
      <c r="J87" s="179">
        <f>2600000000</f>
        <v>2600000000</v>
      </c>
      <c r="K87" s="7"/>
      <c r="L87" s="9">
        <v>0.22</v>
      </c>
      <c r="M87" s="6" t="s">
        <v>218</v>
      </c>
      <c r="N87" s="15"/>
    </row>
    <row r="88" spans="2:14" ht="27.75" thickTop="1" thickBot="1">
      <c r="B88" s="14"/>
      <c r="C88" s="7"/>
      <c r="D88" s="7"/>
      <c r="E88" s="8"/>
      <c r="F88" s="7"/>
      <c r="G88" s="7"/>
      <c r="H88" s="40">
        <f>SUM(H87)</f>
        <v>13000000000</v>
      </c>
      <c r="I88" s="179"/>
      <c r="J88" s="40">
        <f>SUM(J87)</f>
        <v>2600000000</v>
      </c>
      <c r="K88" s="7"/>
      <c r="L88" s="6">
        <v>4</v>
      </c>
      <c r="M88" s="6" t="s">
        <v>219</v>
      </c>
      <c r="N88" s="15"/>
    </row>
    <row r="89" spans="2:14" ht="27.75" thickTop="1" thickBot="1">
      <c r="B89" s="14"/>
      <c r="C89" s="7"/>
      <c r="D89" s="7"/>
      <c r="E89" s="7"/>
      <c r="F89" s="7"/>
      <c r="G89" s="7"/>
      <c r="H89" s="7"/>
      <c r="I89" s="7"/>
      <c r="J89" s="7"/>
      <c r="K89" s="7"/>
      <c r="L89" s="6">
        <v>24</v>
      </c>
      <c r="M89" s="6" t="s">
        <v>220</v>
      </c>
      <c r="N89" s="15"/>
    </row>
    <row r="90" spans="2:14" ht="27.75" thickTop="1" thickBot="1">
      <c r="B90" s="14"/>
      <c r="C90" s="7"/>
      <c r="D90" s="7"/>
      <c r="E90" s="7"/>
      <c r="F90" s="7"/>
      <c r="G90" s="7"/>
      <c r="H90" s="7"/>
      <c r="I90" s="7"/>
      <c r="J90" s="7"/>
      <c r="K90" s="7"/>
      <c r="L90" s="189">
        <f>((L86*L87/L88)*(1+(L87/L88))^L89)/((1+(L87/L88))^L89-1)</f>
        <v>1186158537.8717268</v>
      </c>
      <c r="M90" s="6" t="s">
        <v>221</v>
      </c>
      <c r="N90" s="15"/>
    </row>
    <row r="91" spans="2:14" ht="27.75" thickTop="1" thickBot="1">
      <c r="B91" s="14"/>
      <c r="C91" s="7"/>
      <c r="D91" s="7"/>
      <c r="E91" s="7"/>
      <c r="F91" s="7"/>
      <c r="G91" s="7"/>
      <c r="H91" s="7"/>
      <c r="I91" s="7"/>
      <c r="J91" s="7"/>
      <c r="K91" s="7"/>
      <c r="L91" s="6">
        <f>L90*L89</f>
        <v>28467804908.92144</v>
      </c>
      <c r="M91" s="6" t="s">
        <v>222</v>
      </c>
      <c r="N91" s="15"/>
    </row>
    <row r="92" spans="2:14" ht="27.75" thickTop="1" thickBot="1">
      <c r="B92" s="14"/>
      <c r="C92" s="7"/>
      <c r="D92" s="7"/>
      <c r="E92" s="7"/>
      <c r="F92" s="7"/>
      <c r="G92" s="7"/>
      <c r="H92" s="7"/>
      <c r="I92" s="7"/>
      <c r="J92" s="7"/>
      <c r="K92" s="7"/>
      <c r="L92" s="189">
        <f>L86/L89</f>
        <v>650000000</v>
      </c>
      <c r="M92" s="10" t="s">
        <v>223</v>
      </c>
      <c r="N92" s="15"/>
    </row>
    <row r="93" spans="2:14" ht="27.75" thickTop="1" thickBot="1">
      <c r="B93" s="14"/>
      <c r="C93" s="7"/>
      <c r="D93" s="7"/>
      <c r="E93" s="7"/>
      <c r="F93" s="7"/>
      <c r="G93" s="7"/>
      <c r="H93" s="7"/>
      <c r="I93" s="7"/>
      <c r="J93" s="7"/>
      <c r="K93" s="7"/>
      <c r="L93" s="189">
        <f>L90-L92</f>
        <v>536158537.87172675</v>
      </c>
      <c r="M93" s="10" t="s">
        <v>224</v>
      </c>
      <c r="N93" s="15"/>
    </row>
    <row r="94" spans="2:14" ht="27.75" thickTop="1" thickBot="1">
      <c r="B94" s="14"/>
      <c r="C94" s="7"/>
      <c r="D94" s="7"/>
      <c r="E94" s="7"/>
      <c r="F94" s="7"/>
      <c r="G94" s="7"/>
      <c r="H94" s="7"/>
      <c r="I94" s="7"/>
      <c r="J94" s="7"/>
      <c r="K94" s="7"/>
      <c r="L94" s="6">
        <f>L93*L88</f>
        <v>2144634151.486907</v>
      </c>
      <c r="M94" s="10" t="s">
        <v>225</v>
      </c>
      <c r="N94" s="15"/>
    </row>
    <row r="95" spans="2:14" ht="27" thickTop="1">
      <c r="B95" s="14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15"/>
    </row>
    <row r="96" spans="2:14">
      <c r="B96" s="14"/>
      <c r="C96" s="7" t="s">
        <v>779</v>
      </c>
      <c r="D96" s="699" t="s">
        <v>750</v>
      </c>
      <c r="E96" s="699"/>
      <c r="F96" s="699"/>
      <c r="G96" s="699"/>
      <c r="H96" s="699"/>
      <c r="I96" s="699"/>
      <c r="J96" s="699"/>
      <c r="K96" s="699"/>
      <c r="L96" s="699"/>
      <c r="M96" s="699"/>
      <c r="N96" s="15"/>
    </row>
    <row r="97" spans="2:14">
      <c r="B97" s="14"/>
      <c r="C97" s="7"/>
      <c r="D97" s="699"/>
      <c r="E97" s="699"/>
      <c r="F97" s="699"/>
      <c r="G97" s="699"/>
      <c r="H97" s="699"/>
      <c r="I97" s="699"/>
      <c r="J97" s="699"/>
      <c r="K97" s="699"/>
      <c r="L97" s="699"/>
      <c r="M97" s="699"/>
      <c r="N97" s="15"/>
    </row>
    <row r="98" spans="2:14" ht="27" thickBot="1">
      <c r="B98" s="14"/>
      <c r="C98" s="7"/>
      <c r="D98" s="20"/>
      <c r="E98" s="20"/>
      <c r="F98" s="20"/>
      <c r="G98" s="20"/>
      <c r="H98" s="20"/>
      <c r="I98" s="20"/>
      <c r="J98" s="183" t="str">
        <f>J79</f>
        <v>29/12/1396</v>
      </c>
      <c r="K98" s="20"/>
      <c r="L98" s="20"/>
      <c r="M98" s="20"/>
      <c r="N98" s="15"/>
    </row>
    <row r="99" spans="2:14">
      <c r="B99" s="14"/>
      <c r="C99" s="7"/>
      <c r="D99" s="20"/>
      <c r="E99" s="20"/>
      <c r="F99" s="20"/>
      <c r="G99" s="20"/>
      <c r="H99" s="20"/>
      <c r="I99" s="20"/>
      <c r="J99" s="184" t="s">
        <v>188</v>
      </c>
      <c r="K99" s="20"/>
      <c r="L99" s="20"/>
      <c r="M99" s="20"/>
      <c r="N99" s="15"/>
    </row>
    <row r="100" spans="2:14" ht="27" thickBot="1">
      <c r="B100" s="14"/>
      <c r="C100" s="7"/>
      <c r="D100" s="20"/>
      <c r="E100" s="20"/>
      <c r="F100" s="20"/>
      <c r="G100" s="20"/>
      <c r="H100" s="20"/>
      <c r="I100" s="20"/>
      <c r="J100" s="34">
        <v>1776500000</v>
      </c>
      <c r="K100" s="20"/>
      <c r="L100" s="20"/>
      <c r="M100" s="20"/>
      <c r="N100" s="15"/>
    </row>
    <row r="101" spans="2:14" ht="27" thickBot="1">
      <c r="B101" s="14"/>
      <c r="C101" s="7"/>
      <c r="D101" s="7"/>
      <c r="E101" s="7"/>
      <c r="F101" s="7"/>
      <c r="G101" s="7"/>
      <c r="H101" s="7"/>
      <c r="I101" s="7"/>
      <c r="J101" s="41">
        <f>SUM(J100)</f>
        <v>1776500000</v>
      </c>
      <c r="K101" s="7"/>
      <c r="L101" s="7"/>
      <c r="M101" s="7"/>
      <c r="N101" s="15"/>
    </row>
    <row r="102" spans="2:14" ht="27" thickTop="1">
      <c r="B102" s="14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15"/>
    </row>
    <row r="103" spans="2:14">
      <c r="B103" s="14"/>
      <c r="C103" s="7" t="s">
        <v>780</v>
      </c>
      <c r="D103" s="7" t="s">
        <v>481</v>
      </c>
      <c r="E103" s="7"/>
      <c r="F103" s="7"/>
      <c r="G103" s="7"/>
      <c r="H103" s="7"/>
      <c r="I103" s="7"/>
      <c r="J103" s="7"/>
      <c r="K103" s="7"/>
      <c r="L103" s="7"/>
      <c r="M103" s="7"/>
      <c r="N103" s="15"/>
    </row>
    <row r="104" spans="2:14">
      <c r="B104" s="14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15"/>
    </row>
    <row r="105" spans="2:14">
      <c r="B105" s="14"/>
      <c r="C105" s="7"/>
      <c r="D105" s="7"/>
      <c r="E105" s="7"/>
      <c r="F105" s="7"/>
      <c r="G105" s="7"/>
      <c r="H105" s="7"/>
      <c r="I105" s="7"/>
      <c r="J105" s="264" t="s">
        <v>482</v>
      </c>
      <c r="K105" s="7"/>
      <c r="L105" s="7"/>
      <c r="M105" s="7"/>
      <c r="N105" s="15"/>
    </row>
    <row r="106" spans="2:14" ht="27" thickBot="1">
      <c r="B106" s="14"/>
      <c r="C106" s="7"/>
      <c r="D106" s="7"/>
      <c r="E106" s="7"/>
      <c r="F106" s="3" t="s">
        <v>228</v>
      </c>
      <c r="G106" s="7"/>
      <c r="H106" s="7"/>
      <c r="I106" s="7"/>
      <c r="J106" s="183" t="str">
        <f>J98</f>
        <v>29/12/1396</v>
      </c>
      <c r="K106" s="172" t="s">
        <v>335</v>
      </c>
      <c r="L106" s="193"/>
      <c r="M106" s="320"/>
      <c r="N106" s="15"/>
    </row>
    <row r="107" spans="2:14" ht="27" thickTop="1">
      <c r="B107" s="14"/>
      <c r="C107" s="7"/>
      <c r="D107" s="7"/>
      <c r="E107" s="7"/>
      <c r="F107" s="7"/>
      <c r="G107" s="7"/>
      <c r="H107" s="7"/>
      <c r="I107" s="7"/>
      <c r="J107" s="184" t="s">
        <v>188</v>
      </c>
      <c r="K107" s="7"/>
      <c r="L107" s="7"/>
      <c r="M107" s="7"/>
      <c r="N107" s="15"/>
    </row>
    <row r="108" spans="2:14">
      <c r="B108" s="14"/>
      <c r="C108" s="7"/>
      <c r="D108" s="7"/>
      <c r="E108" s="7"/>
      <c r="F108" s="179" t="s">
        <v>227</v>
      </c>
      <c r="G108" s="7"/>
      <c r="H108" s="7"/>
      <c r="I108" s="7"/>
      <c r="J108" s="216">
        <v>12000000000</v>
      </c>
      <c r="K108" s="216">
        <f>J108/J$113*100</f>
        <v>37.999936666772221</v>
      </c>
      <c r="L108" s="320"/>
      <c r="M108" s="320"/>
      <c r="N108" s="15"/>
    </row>
    <row r="109" spans="2:14">
      <c r="B109" s="14"/>
      <c r="C109" s="7"/>
      <c r="D109" s="7"/>
      <c r="E109" s="7"/>
      <c r="F109" s="179" t="s">
        <v>229</v>
      </c>
      <c r="G109" s="7"/>
      <c r="H109" s="7"/>
      <c r="I109" s="7"/>
      <c r="J109" s="216">
        <v>8000000000</v>
      </c>
      <c r="K109" s="216">
        <f>J109/J$113*100</f>
        <v>25.333291111181484</v>
      </c>
      <c r="L109" s="320"/>
      <c r="M109" s="320"/>
      <c r="N109" s="15"/>
    </row>
    <row r="110" spans="2:14">
      <c r="B110" s="14"/>
      <c r="C110" s="7"/>
      <c r="D110" s="7"/>
      <c r="E110" s="7"/>
      <c r="F110" s="191" t="s">
        <v>379</v>
      </c>
      <c r="G110" s="7"/>
      <c r="H110" s="7"/>
      <c r="I110" s="7"/>
      <c r="J110" s="216">
        <v>7000000000</v>
      </c>
      <c r="K110" s="216">
        <f>J110/J$113*100</f>
        <v>22.166629722283794</v>
      </c>
      <c r="L110" s="320"/>
      <c r="M110" s="320"/>
      <c r="N110" s="15"/>
    </row>
    <row r="111" spans="2:14">
      <c r="B111" s="14"/>
      <c r="C111" s="7"/>
      <c r="D111" s="7"/>
      <c r="E111" s="7"/>
      <c r="F111" s="191" t="s">
        <v>380</v>
      </c>
      <c r="G111" s="7"/>
      <c r="H111" s="7"/>
      <c r="I111" s="7"/>
      <c r="J111" s="216">
        <v>3579000000</v>
      </c>
      <c r="K111" s="216">
        <f>J111/J$113*100</f>
        <v>11.333481110864815</v>
      </c>
      <c r="L111" s="320"/>
      <c r="M111" s="320"/>
      <c r="N111" s="15"/>
    </row>
    <row r="112" spans="2:14" ht="27" thickBot="1">
      <c r="B112" s="14"/>
      <c r="C112" s="7"/>
      <c r="D112" s="7"/>
      <c r="E112" s="7"/>
      <c r="F112" s="216" t="s">
        <v>415</v>
      </c>
      <c r="G112" s="7"/>
      <c r="H112" s="7"/>
      <c r="I112" s="7"/>
      <c r="J112" s="216">
        <v>1000000000</v>
      </c>
      <c r="K112" s="216">
        <f>J112/J$113*100</f>
        <v>3.1666613888976856</v>
      </c>
      <c r="L112" s="320"/>
      <c r="M112" s="320"/>
      <c r="N112" s="15"/>
    </row>
    <row r="113" spans="2:14" ht="27.75" thickTop="1" thickBot="1">
      <c r="B113" s="14"/>
      <c r="C113" s="7"/>
      <c r="D113" s="7"/>
      <c r="E113" s="7"/>
      <c r="F113" s="373" t="s">
        <v>12</v>
      </c>
      <c r="G113" s="7"/>
      <c r="H113" s="7"/>
      <c r="I113" s="7"/>
      <c r="J113" s="503">
        <f>SUM(J108:J112)</f>
        <v>31579000000</v>
      </c>
      <c r="K113" s="40">
        <f>SUM(K108:K112)</f>
        <v>100</v>
      </c>
      <c r="L113" s="320"/>
      <c r="M113" s="320"/>
      <c r="N113" s="15"/>
    </row>
    <row r="114" spans="2:14" ht="27" thickTop="1">
      <c r="B114" s="14"/>
      <c r="C114" s="7"/>
      <c r="D114" s="7"/>
      <c r="E114" s="7"/>
      <c r="K114" s="373"/>
      <c r="L114" s="373"/>
      <c r="M114" s="373"/>
      <c r="N114" s="15"/>
    </row>
    <row r="115" spans="2:14">
      <c r="B115" s="14"/>
      <c r="C115" s="7"/>
      <c r="D115" s="7"/>
      <c r="E115" s="7"/>
      <c r="F115" s="456" t="s">
        <v>671</v>
      </c>
      <c r="G115" s="457"/>
      <c r="H115" s="457"/>
      <c r="I115" s="457"/>
      <c r="J115" s="456">
        <f>J113/1000</f>
        <v>31579000</v>
      </c>
      <c r="K115" s="373"/>
      <c r="L115" s="373"/>
      <c r="M115" s="373"/>
      <c r="N115" s="15"/>
    </row>
    <row r="116" spans="2:14">
      <c r="B116" s="14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15"/>
    </row>
    <row r="117" spans="2:14">
      <c r="B117" s="14"/>
      <c r="C117" s="7" t="s">
        <v>781</v>
      </c>
      <c r="D117" s="697" t="s">
        <v>782</v>
      </c>
      <c r="E117" s="697"/>
      <c r="F117" s="697"/>
      <c r="G117" s="697"/>
      <c r="H117" s="697"/>
      <c r="I117" s="697"/>
      <c r="J117" s="697"/>
      <c r="K117" s="697"/>
      <c r="L117" s="697"/>
      <c r="M117" s="697"/>
      <c r="N117" s="15"/>
    </row>
    <row r="118" spans="2:14" ht="27" thickBot="1">
      <c r="B118" s="14"/>
      <c r="C118" s="7"/>
      <c r="D118" s="178"/>
      <c r="E118" s="178"/>
      <c r="F118" s="178"/>
      <c r="G118" s="178"/>
      <c r="H118" s="178"/>
      <c r="I118" s="178"/>
      <c r="J118" s="183" t="str">
        <f>J106</f>
        <v>29/12/1396</v>
      </c>
      <c r="K118" s="178"/>
      <c r="L118" s="178"/>
      <c r="M118" s="178"/>
      <c r="N118" s="15"/>
    </row>
    <row r="119" spans="2:14">
      <c r="B119" s="14"/>
      <c r="C119" s="7"/>
      <c r="D119" s="178"/>
      <c r="E119" s="178"/>
      <c r="F119" s="178"/>
      <c r="G119" s="178"/>
      <c r="H119" s="178"/>
      <c r="I119" s="178"/>
      <c r="J119" s="184" t="s">
        <v>188</v>
      </c>
      <c r="K119" s="178"/>
      <c r="L119" s="178"/>
      <c r="M119" s="178"/>
      <c r="N119" s="15"/>
    </row>
    <row r="120" spans="2:14" ht="27" thickBot="1">
      <c r="B120" s="14"/>
      <c r="C120" s="7"/>
      <c r="D120" s="178"/>
      <c r="E120" s="178"/>
      <c r="F120" s="178" t="s">
        <v>249</v>
      </c>
      <c r="G120" s="178"/>
      <c r="H120" s="178"/>
      <c r="I120" s="178"/>
      <c r="J120" s="179">
        <v>4781250000</v>
      </c>
      <c r="K120" s="178"/>
      <c r="L120" s="178"/>
      <c r="M120" s="178"/>
      <c r="N120" s="15"/>
    </row>
    <row r="121" spans="2:14" ht="27" thickBot="1">
      <c r="B121" s="14"/>
      <c r="C121" s="7"/>
      <c r="D121" s="178"/>
      <c r="E121" s="178"/>
      <c r="F121" s="178" t="str">
        <f>F127</f>
        <v>جمع</v>
      </c>
      <c r="G121" s="178"/>
      <c r="H121" s="178"/>
      <c r="I121" s="178"/>
      <c r="J121" s="40">
        <f>SUM(J120)</f>
        <v>4781250000</v>
      </c>
      <c r="K121" s="178"/>
      <c r="L121" s="178"/>
      <c r="M121" s="178"/>
      <c r="N121" s="15"/>
    </row>
    <row r="122" spans="2:14" ht="27" thickTop="1">
      <c r="B122" s="14"/>
      <c r="C122" s="7"/>
      <c r="D122" s="178"/>
      <c r="E122" s="178"/>
      <c r="F122" s="178"/>
      <c r="G122" s="178"/>
      <c r="H122" s="178"/>
      <c r="I122" s="178"/>
      <c r="J122" s="178"/>
      <c r="K122" s="178"/>
      <c r="L122" s="178"/>
      <c r="M122" s="178"/>
      <c r="N122" s="15"/>
    </row>
    <row r="123" spans="2:14" ht="53.25" customHeight="1">
      <c r="B123" s="14"/>
      <c r="C123" s="20" t="s">
        <v>783</v>
      </c>
      <c r="D123" s="698" t="s">
        <v>381</v>
      </c>
      <c r="E123" s="698"/>
      <c r="F123" s="698"/>
      <c r="G123" s="698"/>
      <c r="H123" s="698"/>
      <c r="I123" s="698"/>
      <c r="J123" s="698"/>
      <c r="K123" s="698"/>
      <c r="L123" s="698"/>
      <c r="M123" s="698"/>
      <c r="N123" s="15"/>
    </row>
    <row r="124" spans="2:14" ht="27" thickBot="1">
      <c r="B124" s="14"/>
      <c r="C124" s="7"/>
      <c r="D124" s="7"/>
      <c r="E124" s="7"/>
      <c r="F124" s="7"/>
      <c r="G124" s="7"/>
      <c r="H124" s="7"/>
      <c r="I124" s="7"/>
      <c r="J124" s="183" t="str">
        <f>J118</f>
        <v>29/12/1396</v>
      </c>
      <c r="K124" s="7"/>
      <c r="L124" s="7"/>
      <c r="M124" s="7"/>
      <c r="N124" s="15"/>
    </row>
    <row r="125" spans="2:14">
      <c r="B125" s="14"/>
      <c r="C125" s="7"/>
      <c r="D125" s="7"/>
      <c r="E125" s="7"/>
      <c r="F125" s="7"/>
      <c r="G125" s="7"/>
      <c r="H125" s="7"/>
      <c r="I125" s="7"/>
      <c r="J125" s="184" t="s">
        <v>188</v>
      </c>
      <c r="K125" s="7"/>
      <c r="L125" s="7"/>
      <c r="M125" s="7"/>
      <c r="N125" s="15"/>
    </row>
    <row r="126" spans="2:14" ht="27" thickBot="1">
      <c r="B126" s="14"/>
      <c r="C126" s="7"/>
      <c r="D126" s="7"/>
      <c r="E126" s="7"/>
      <c r="F126" s="7" t="s">
        <v>248</v>
      </c>
      <c r="G126" s="7"/>
      <c r="H126" s="7"/>
      <c r="I126" s="7"/>
      <c r="J126" s="179">
        <v>281250000</v>
      </c>
      <c r="K126" s="7"/>
      <c r="L126" s="7"/>
      <c r="M126" s="7"/>
      <c r="N126" s="15"/>
    </row>
    <row r="127" spans="2:14" ht="27" thickBot="1">
      <c r="B127" s="14"/>
      <c r="C127" s="7"/>
      <c r="D127" s="7"/>
      <c r="E127" s="7"/>
      <c r="F127" s="7" t="s">
        <v>12</v>
      </c>
      <c r="G127" s="7"/>
      <c r="H127" s="7"/>
      <c r="I127" s="7"/>
      <c r="J127" s="40">
        <f>SUM(J126)</f>
        <v>281250000</v>
      </c>
      <c r="K127" s="7"/>
      <c r="L127" s="7"/>
      <c r="M127" s="7"/>
      <c r="N127" s="15"/>
    </row>
    <row r="128" spans="2:14" ht="27" thickTop="1">
      <c r="B128" s="14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15"/>
    </row>
    <row r="129" spans="2:14">
      <c r="B129" s="14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15"/>
    </row>
    <row r="130" spans="2:14">
      <c r="B130" s="14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15"/>
    </row>
    <row r="131" spans="2:14" ht="27" thickBot="1">
      <c r="B131" s="21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22"/>
    </row>
    <row r="132" spans="2:14" ht="27" thickTop="1"/>
    <row r="140" spans="2:14">
      <c r="E140" s="1" t="s">
        <v>403</v>
      </c>
    </row>
  </sheetData>
  <mergeCells count="23">
    <mergeCell ref="D117:M117"/>
    <mergeCell ref="D123:M123"/>
    <mergeCell ref="D2:L3"/>
    <mergeCell ref="D72:M72"/>
    <mergeCell ref="D78:M78"/>
    <mergeCell ref="D84:M84"/>
    <mergeCell ref="L85:M85"/>
    <mergeCell ref="D96:M97"/>
    <mergeCell ref="D21:H21"/>
    <mergeCell ref="D28:M28"/>
    <mergeCell ref="D26:M27"/>
    <mergeCell ref="D5:M5"/>
    <mergeCell ref="F11:H11"/>
    <mergeCell ref="F12:H12"/>
    <mergeCell ref="F13:H13"/>
    <mergeCell ref="D16:M16"/>
    <mergeCell ref="D65:M65"/>
    <mergeCell ref="D17:M17"/>
    <mergeCell ref="D35:M36"/>
    <mergeCell ref="D43:M44"/>
    <mergeCell ref="D51:M51"/>
    <mergeCell ref="D58:M58"/>
    <mergeCell ref="F55:H55"/>
  </mergeCells>
  <hyperlinks>
    <hyperlink ref="D2:L3" r:id="rId1" location="'فهرست مطالب'!A1" display="  ترازنامه سال 1394( شركت نمونه سهامي خاص )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18" fitToWidth="2" orientation="landscape" r:id="rId2"/>
</worksheet>
</file>

<file path=xl/worksheets/sheet19.xml><?xml version="1.0" encoding="utf-8"?>
<worksheet xmlns="http://schemas.openxmlformats.org/spreadsheetml/2006/main" xmlns:r="http://schemas.openxmlformats.org/officeDocument/2006/relationships">
  <dimension ref="A3:S46"/>
  <sheetViews>
    <sheetView workbookViewId="0">
      <selection activeCell="C16" sqref="C16"/>
    </sheetView>
  </sheetViews>
  <sheetFormatPr defaultColWidth="9" defaultRowHeight="23.25"/>
  <cols>
    <col min="1" max="1" width="18.28515625" style="117" customWidth="1"/>
    <col min="2" max="2" width="18" style="117" customWidth="1"/>
    <col min="3" max="3" width="42.42578125" style="117" bestFit="1" customWidth="1"/>
    <col min="4" max="4" width="26.42578125" style="117" customWidth="1"/>
    <col min="5" max="5" width="28.28515625" style="117" customWidth="1"/>
    <col min="6" max="6" width="22.140625" style="117" customWidth="1"/>
    <col min="7" max="16" width="27" style="117" bestFit="1" customWidth="1"/>
    <col min="17" max="17" width="48.7109375" style="117" bestFit="1" customWidth="1"/>
    <col min="18" max="18" width="10.140625" style="117" customWidth="1"/>
    <col min="19" max="19" width="29.28515625" style="117" bestFit="1" customWidth="1"/>
    <col min="20" max="16384" width="9" style="117"/>
  </cols>
  <sheetData>
    <row r="3" spans="1:19" ht="28.5">
      <c r="Q3" s="341" t="s">
        <v>346</v>
      </c>
    </row>
    <row r="4" spans="1:19" ht="24" thickBot="1"/>
    <row r="5" spans="1:19" ht="24.75" thickTop="1" thickBot="1">
      <c r="A5" s="719" t="s">
        <v>768</v>
      </c>
      <c r="B5" s="719" t="s">
        <v>767</v>
      </c>
      <c r="C5" s="732" t="s">
        <v>766</v>
      </c>
      <c r="D5" s="732" t="s">
        <v>760</v>
      </c>
      <c r="E5" s="128"/>
      <c r="F5" s="129"/>
      <c r="G5" s="599"/>
      <c r="H5" s="735"/>
      <c r="I5" s="735"/>
      <c r="J5" s="735"/>
      <c r="K5" s="735"/>
      <c r="L5" s="735"/>
      <c r="M5" s="735"/>
      <c r="N5" s="735"/>
      <c r="O5" s="735"/>
      <c r="P5" s="597"/>
      <c r="Q5" s="732" t="s">
        <v>256</v>
      </c>
    </row>
    <row r="6" spans="1:19" ht="24.75" thickTop="1" thickBot="1">
      <c r="A6" s="719"/>
      <c r="B6" s="719"/>
      <c r="C6" s="732"/>
      <c r="D6" s="732"/>
      <c r="E6" s="130"/>
      <c r="F6" s="131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732"/>
    </row>
    <row r="7" spans="1:19" ht="24.75" thickTop="1" thickBot="1">
      <c r="A7" s="719"/>
      <c r="B7" s="719"/>
      <c r="C7" s="732"/>
      <c r="D7" s="732"/>
      <c r="E7" s="133" t="s">
        <v>41</v>
      </c>
      <c r="F7" s="133" t="s">
        <v>10</v>
      </c>
      <c r="G7" s="134" t="s">
        <v>254</v>
      </c>
      <c r="H7" s="135" t="s">
        <v>8</v>
      </c>
      <c r="I7" s="135" t="s">
        <v>40</v>
      </c>
      <c r="J7" s="135" t="s">
        <v>6</v>
      </c>
      <c r="K7" s="135" t="s">
        <v>253</v>
      </c>
      <c r="L7" s="135" t="s">
        <v>4</v>
      </c>
      <c r="M7" s="135" t="s">
        <v>266</v>
      </c>
      <c r="N7" s="135" t="s">
        <v>2</v>
      </c>
      <c r="O7" s="135" t="s">
        <v>251</v>
      </c>
      <c r="P7" s="136" t="s">
        <v>250</v>
      </c>
      <c r="Q7" s="732"/>
    </row>
    <row r="8" spans="1:19" ht="24.75" thickTop="1" thickBot="1">
      <c r="A8" s="720"/>
      <c r="B8" s="721"/>
      <c r="C8" s="722"/>
      <c r="D8" s="137">
        <f>P8</f>
        <v>400</v>
      </c>
      <c r="E8" s="137">
        <f t="shared" ref="E8:N8" si="0">F15</f>
        <v>600</v>
      </c>
      <c r="F8" s="137">
        <f t="shared" si="0"/>
        <v>540</v>
      </c>
      <c r="G8" s="137">
        <f t="shared" si="0"/>
        <v>480</v>
      </c>
      <c r="H8" s="137">
        <f t="shared" si="0"/>
        <v>480</v>
      </c>
      <c r="I8" s="137">
        <f t="shared" si="0"/>
        <v>480</v>
      </c>
      <c r="J8" s="137">
        <f t="shared" si="0"/>
        <v>300</v>
      </c>
      <c r="K8" s="137">
        <f t="shared" si="0"/>
        <v>300</v>
      </c>
      <c r="L8" s="137">
        <f t="shared" si="0"/>
        <v>300</v>
      </c>
      <c r="M8" s="137">
        <f t="shared" si="0"/>
        <v>300</v>
      </c>
      <c r="N8" s="137">
        <f t="shared" si="0"/>
        <v>300</v>
      </c>
      <c r="O8" s="137">
        <f>P15</f>
        <v>300</v>
      </c>
      <c r="P8" s="137">
        <f>'اطاعات تفصیلی سال قبل'!U21</f>
        <v>400</v>
      </c>
      <c r="Q8" s="138" t="s">
        <v>257</v>
      </c>
    </row>
    <row r="9" spans="1:19" ht="24.75" thickTop="1" thickBot="1">
      <c r="A9" s="501">
        <f>B9/C9*100</f>
        <v>5.4648148148148215</v>
      </c>
      <c r="B9" s="501">
        <f>C9-D9</f>
        <v>590.20000000000073</v>
      </c>
      <c r="C9" s="501">
        <f>(6*600)+(6*1200)</f>
        <v>10800</v>
      </c>
      <c r="D9" s="435">
        <f>SUM(E9:P9)</f>
        <v>10209.799999999999</v>
      </c>
      <c r="E9" s="435">
        <f t="shared" ref="E9:O9" si="1">IF(E10&lt;E8,0,E10-E8)</f>
        <v>1206</v>
      </c>
      <c r="F9" s="435">
        <f t="shared" si="1"/>
        <v>1266</v>
      </c>
      <c r="G9" s="435">
        <f t="shared" si="1"/>
        <v>1145.4000000000001</v>
      </c>
      <c r="H9" s="435">
        <f t="shared" si="1"/>
        <v>964.8</v>
      </c>
      <c r="I9" s="435">
        <f t="shared" si="1"/>
        <v>964.8</v>
      </c>
      <c r="J9" s="435">
        <f t="shared" si="1"/>
        <v>1144.8</v>
      </c>
      <c r="K9" s="435">
        <f t="shared" si="1"/>
        <v>603</v>
      </c>
      <c r="L9" s="435">
        <f t="shared" si="1"/>
        <v>603</v>
      </c>
      <c r="M9" s="435">
        <f t="shared" si="1"/>
        <v>603</v>
      </c>
      <c r="N9" s="435">
        <f t="shared" si="1"/>
        <v>603</v>
      </c>
      <c r="O9" s="435">
        <f t="shared" si="1"/>
        <v>603</v>
      </c>
      <c r="P9" s="435">
        <f>IF(P10&lt;P8,0,P10-P8)</f>
        <v>503</v>
      </c>
      <c r="Q9" s="434" t="s">
        <v>258</v>
      </c>
    </row>
    <row r="10" spans="1:19" ht="24.75" thickTop="1" thickBot="1">
      <c r="A10" s="723"/>
      <c r="B10" s="724"/>
      <c r="C10" s="725"/>
      <c r="D10" s="139">
        <f t="shared" ref="D10:O10" si="2">D12+D13+D11</f>
        <v>10609.8</v>
      </c>
      <c r="E10" s="139">
        <f t="shared" si="2"/>
        <v>1806</v>
      </c>
      <c r="F10" s="139">
        <f t="shared" si="2"/>
        <v>1806</v>
      </c>
      <c r="G10" s="139">
        <f t="shared" si="2"/>
        <v>1625.4</v>
      </c>
      <c r="H10" s="139">
        <f t="shared" si="2"/>
        <v>1444.8</v>
      </c>
      <c r="I10" s="139">
        <f t="shared" si="2"/>
        <v>1444.8</v>
      </c>
      <c r="J10" s="139">
        <f t="shared" si="2"/>
        <v>1444.8</v>
      </c>
      <c r="K10" s="139">
        <f t="shared" si="2"/>
        <v>903</v>
      </c>
      <c r="L10" s="139">
        <f t="shared" si="2"/>
        <v>903</v>
      </c>
      <c r="M10" s="139">
        <f t="shared" si="2"/>
        <v>903</v>
      </c>
      <c r="N10" s="139">
        <f t="shared" si="2"/>
        <v>903</v>
      </c>
      <c r="O10" s="139">
        <f t="shared" si="2"/>
        <v>903</v>
      </c>
      <c r="P10" s="139">
        <f>P12+P13+P11</f>
        <v>903</v>
      </c>
      <c r="Q10" s="140" t="s">
        <v>259</v>
      </c>
    </row>
    <row r="11" spans="1:19" ht="24.75" thickTop="1" thickBot="1">
      <c r="A11" s="726"/>
      <c r="B11" s="727"/>
      <c r="C11" s="728"/>
      <c r="D11" s="139">
        <f>SUM(E11:P11)</f>
        <v>49.8</v>
      </c>
      <c r="E11" s="139">
        <f t="shared" ref="E11:P11" si="3">E12*$R15%</f>
        <v>6</v>
      </c>
      <c r="F11" s="139">
        <f t="shared" si="3"/>
        <v>6</v>
      </c>
      <c r="G11" s="139">
        <f t="shared" si="3"/>
        <v>5.4</v>
      </c>
      <c r="H11" s="139">
        <f t="shared" si="3"/>
        <v>4.8</v>
      </c>
      <c r="I11" s="139">
        <f t="shared" si="3"/>
        <v>4.8</v>
      </c>
      <c r="J11" s="139">
        <f t="shared" si="3"/>
        <v>4.8</v>
      </c>
      <c r="K11" s="139">
        <f t="shared" si="3"/>
        <v>3</v>
      </c>
      <c r="L11" s="139">
        <f t="shared" si="3"/>
        <v>3</v>
      </c>
      <c r="M11" s="139">
        <f t="shared" si="3"/>
        <v>3</v>
      </c>
      <c r="N11" s="139">
        <f t="shared" si="3"/>
        <v>3</v>
      </c>
      <c r="O11" s="139">
        <f t="shared" si="3"/>
        <v>3</v>
      </c>
      <c r="P11" s="139">
        <f t="shared" si="3"/>
        <v>3</v>
      </c>
      <c r="Q11" s="140" t="s">
        <v>73</v>
      </c>
    </row>
    <row r="12" spans="1:19" ht="24.75" thickTop="1" thickBot="1">
      <c r="A12" s="726"/>
      <c r="B12" s="727"/>
      <c r="C12" s="728"/>
      <c r="D12" s="137">
        <f>'فروش - محصول A'!D7</f>
        <v>9960</v>
      </c>
      <c r="E12" s="137">
        <f>'فروش - محصول A'!E7</f>
        <v>1200</v>
      </c>
      <c r="F12" s="137">
        <f>'فروش - محصول A'!F7</f>
        <v>1200</v>
      </c>
      <c r="G12" s="137">
        <f>'فروش - محصول A'!G7</f>
        <v>1080</v>
      </c>
      <c r="H12" s="137">
        <f>'فروش - محصول A'!H7</f>
        <v>960</v>
      </c>
      <c r="I12" s="137">
        <f>'فروش - محصول A'!I7</f>
        <v>960</v>
      </c>
      <c r="J12" s="137">
        <f>'فروش - محصول A'!J7</f>
        <v>960</v>
      </c>
      <c r="K12" s="137">
        <f>'فروش - محصول A'!K7</f>
        <v>600</v>
      </c>
      <c r="L12" s="137">
        <f>'فروش - محصول A'!L7</f>
        <v>600</v>
      </c>
      <c r="M12" s="137">
        <f>'فروش - محصول A'!M7</f>
        <v>600</v>
      </c>
      <c r="N12" s="137">
        <f>'فروش - محصول A'!N7</f>
        <v>600</v>
      </c>
      <c r="O12" s="137">
        <f>'فروش - محصول A'!O7</f>
        <v>600</v>
      </c>
      <c r="P12" s="137">
        <f>'فروش - محصول A'!P7</f>
        <v>600</v>
      </c>
      <c r="Q12" s="138" t="s">
        <v>260</v>
      </c>
    </row>
    <row r="13" spans="1:19" ht="24.75" thickTop="1" thickBot="1">
      <c r="A13" s="729"/>
      <c r="B13" s="730"/>
      <c r="C13" s="731"/>
      <c r="D13" s="137">
        <f>E13</f>
        <v>600</v>
      </c>
      <c r="E13" s="137">
        <f t="shared" ref="E13:P13" si="4">E12*$R14%</f>
        <v>600</v>
      </c>
      <c r="F13" s="137">
        <f t="shared" si="4"/>
        <v>600</v>
      </c>
      <c r="G13" s="137">
        <f t="shared" si="4"/>
        <v>540</v>
      </c>
      <c r="H13" s="137">
        <f t="shared" si="4"/>
        <v>480</v>
      </c>
      <c r="I13" s="137">
        <f t="shared" si="4"/>
        <v>480</v>
      </c>
      <c r="J13" s="137">
        <f t="shared" si="4"/>
        <v>480</v>
      </c>
      <c r="K13" s="137">
        <f t="shared" si="4"/>
        <v>300</v>
      </c>
      <c r="L13" s="137">
        <f t="shared" si="4"/>
        <v>300</v>
      </c>
      <c r="M13" s="137">
        <f t="shared" si="4"/>
        <v>300</v>
      </c>
      <c r="N13" s="137">
        <f t="shared" si="4"/>
        <v>300</v>
      </c>
      <c r="O13" s="137">
        <f t="shared" si="4"/>
        <v>300</v>
      </c>
      <c r="P13" s="137">
        <f t="shared" si="4"/>
        <v>300</v>
      </c>
      <c r="Q13" s="138" t="s">
        <v>712</v>
      </c>
    </row>
    <row r="14" spans="1:19" ht="24.75" thickTop="1" thickBot="1">
      <c r="E14" s="453">
        <f t="shared" ref="E14:O14" si="5">IF(E10&lt;E8,E8-E10,0)</f>
        <v>0</v>
      </c>
      <c r="F14" s="453">
        <f t="shared" si="5"/>
        <v>0</v>
      </c>
      <c r="G14" s="453">
        <f t="shared" si="5"/>
        <v>0</v>
      </c>
      <c r="H14" s="453">
        <f t="shared" si="5"/>
        <v>0</v>
      </c>
      <c r="I14" s="453">
        <f t="shared" si="5"/>
        <v>0</v>
      </c>
      <c r="J14" s="453">
        <f t="shared" si="5"/>
        <v>0</v>
      </c>
      <c r="K14" s="453">
        <f t="shared" si="5"/>
        <v>0</v>
      </c>
      <c r="L14" s="453">
        <f t="shared" si="5"/>
        <v>0</v>
      </c>
      <c r="M14" s="453">
        <f t="shared" si="5"/>
        <v>0</v>
      </c>
      <c r="N14" s="453">
        <f t="shared" si="5"/>
        <v>0</v>
      </c>
      <c r="O14" s="453">
        <f t="shared" si="5"/>
        <v>0</v>
      </c>
      <c r="P14" s="453">
        <f>IF(P10&lt;P8,P8-P10,0)</f>
        <v>0</v>
      </c>
      <c r="Q14" s="138" t="s">
        <v>710</v>
      </c>
      <c r="R14" s="240">
        <v>50</v>
      </c>
      <c r="S14" s="141" t="s">
        <v>326</v>
      </c>
    </row>
    <row r="15" spans="1:19" ht="24.75" thickTop="1" thickBot="1">
      <c r="E15" s="453">
        <f t="shared" ref="E15" si="6">E13+E14</f>
        <v>600</v>
      </c>
      <c r="F15" s="453">
        <f t="shared" ref="F15" si="7">F13+F14</f>
        <v>600</v>
      </c>
      <c r="G15" s="453">
        <f t="shared" ref="G15" si="8">G13+G14</f>
        <v>540</v>
      </c>
      <c r="H15" s="453">
        <f t="shared" ref="H15" si="9">H13+H14</f>
        <v>480</v>
      </c>
      <c r="I15" s="453">
        <f t="shared" ref="I15" si="10">I13+I14</f>
        <v>480</v>
      </c>
      <c r="J15" s="453">
        <f t="shared" ref="J15" si="11">J13+J14</f>
        <v>480</v>
      </c>
      <c r="K15" s="453">
        <f t="shared" ref="K15" si="12">K13+K14</f>
        <v>300</v>
      </c>
      <c r="L15" s="453">
        <f t="shared" ref="L15" si="13">L13+L14</f>
        <v>300</v>
      </c>
      <c r="M15" s="453">
        <f t="shared" ref="M15" si="14">M13+M14</f>
        <v>300</v>
      </c>
      <c r="N15" s="453">
        <f t="shared" ref="N15" si="15">N13+N14</f>
        <v>300</v>
      </c>
      <c r="O15" s="453">
        <f t="shared" ref="O15" si="16">O13+O14</f>
        <v>300</v>
      </c>
      <c r="P15" s="453">
        <f>P13+P14</f>
        <v>300</v>
      </c>
      <c r="Q15" s="138" t="s">
        <v>711</v>
      </c>
      <c r="R15" s="817">
        <v>0.5</v>
      </c>
      <c r="S15" s="240" t="s">
        <v>457</v>
      </c>
    </row>
    <row r="16" spans="1:19" ht="24" thickTop="1"/>
    <row r="17" spans="3:17">
      <c r="Q17" s="142" t="s">
        <v>261</v>
      </c>
    </row>
    <row r="20" spans="3:17" ht="24" thickBot="1">
      <c r="Q20" s="143" t="s">
        <v>263</v>
      </c>
    </row>
    <row r="21" spans="3:17" ht="24.75" thickTop="1" thickBot="1">
      <c r="C21" s="733" t="s">
        <v>319</v>
      </c>
      <c r="D21" s="218" t="s">
        <v>12</v>
      </c>
      <c r="E21" s="136" t="s">
        <v>41</v>
      </c>
      <c r="F21" s="136" t="s">
        <v>10</v>
      </c>
      <c r="G21" s="136" t="s">
        <v>254</v>
      </c>
      <c r="H21" s="136" t="s">
        <v>8</v>
      </c>
      <c r="I21" s="136" t="s">
        <v>40</v>
      </c>
      <c r="J21" s="136" t="s">
        <v>6</v>
      </c>
      <c r="K21" s="136" t="s">
        <v>253</v>
      </c>
      <c r="L21" s="136" t="s">
        <v>4</v>
      </c>
      <c r="M21" s="136" t="s">
        <v>266</v>
      </c>
      <c r="N21" s="136" t="s">
        <v>2</v>
      </c>
      <c r="O21" s="136" t="s">
        <v>251</v>
      </c>
      <c r="P21" s="136" t="s">
        <v>250</v>
      </c>
      <c r="Q21" s="733" t="s">
        <v>262</v>
      </c>
    </row>
    <row r="22" spans="3:17" ht="33" customHeight="1" thickTop="1" thickBot="1">
      <c r="C22" s="734"/>
      <c r="D22" s="436">
        <f>SUM(E22:P22)</f>
        <v>27689198000</v>
      </c>
      <c r="E22" s="436">
        <f t="shared" ref="E22:O22" si="17">E41</f>
        <v>3045540000</v>
      </c>
      <c r="F22" s="436">
        <f t="shared" si="17"/>
        <v>3583322399.9999995</v>
      </c>
      <c r="G22" s="436">
        <f t="shared" si="17"/>
        <v>3392384400.000001</v>
      </c>
      <c r="H22" s="436">
        <f t="shared" si="17"/>
        <v>2537424000</v>
      </c>
      <c r="I22" s="436">
        <f t="shared" si="17"/>
        <v>2158704000</v>
      </c>
      <c r="J22" s="436">
        <f t="shared" si="17"/>
        <v>4150771200</v>
      </c>
      <c r="K22" s="436">
        <f t="shared" si="17"/>
        <v>1585890000</v>
      </c>
      <c r="L22" s="436">
        <f t="shared" si="17"/>
        <v>1585890000</v>
      </c>
      <c r="M22" s="436">
        <f t="shared" si="17"/>
        <v>1585890000</v>
      </c>
      <c r="N22" s="436">
        <f t="shared" si="17"/>
        <v>1585890000</v>
      </c>
      <c r="O22" s="436">
        <f t="shared" si="17"/>
        <v>1796290000</v>
      </c>
      <c r="P22" s="436">
        <f>P41</f>
        <v>681202000</v>
      </c>
      <c r="Q22" s="734"/>
    </row>
    <row r="23" spans="3:17" s="148" customFormat="1" ht="7.5" customHeight="1" thickTop="1" thickBot="1">
      <c r="C23" s="145"/>
      <c r="D23" s="146"/>
      <c r="E23" s="146"/>
      <c r="F23" s="146"/>
      <c r="G23" s="146"/>
      <c r="H23" s="146"/>
      <c r="I23" s="146"/>
      <c r="J23" s="146"/>
      <c r="K23" s="146"/>
      <c r="L23" s="146"/>
      <c r="M23" s="146"/>
      <c r="N23" s="146"/>
      <c r="O23" s="146"/>
      <c r="P23" s="146"/>
      <c r="Q23" s="147"/>
    </row>
    <row r="24" spans="3:17" ht="24.75" thickTop="1" thickBot="1">
      <c r="C24" s="141"/>
      <c r="D24" s="149">
        <f>SUM(E24:P24)</f>
        <v>681202000</v>
      </c>
      <c r="E24" s="150"/>
      <c r="F24" s="150"/>
      <c r="G24" s="150"/>
      <c r="H24" s="150"/>
      <c r="I24" s="150"/>
      <c r="J24" s="150"/>
      <c r="K24" s="150"/>
      <c r="L24" s="150"/>
      <c r="M24" s="150"/>
      <c r="N24" s="150"/>
      <c r="O24" s="150">
        <f>P$22*50%</f>
        <v>340601000</v>
      </c>
      <c r="P24" s="150">
        <f>P$22*50%</f>
        <v>340601000</v>
      </c>
      <c r="Q24" s="141" t="s">
        <v>267</v>
      </c>
    </row>
    <row r="25" spans="3:17" ht="24.75" thickTop="1" thickBot="1">
      <c r="C25" s="141"/>
      <c r="D25" s="149">
        <f t="shared" ref="D25:D35" si="18">SUM(E25:P25)</f>
        <v>1796290000</v>
      </c>
      <c r="E25" s="150"/>
      <c r="F25" s="150"/>
      <c r="G25" s="150"/>
      <c r="H25" s="150"/>
      <c r="I25" s="150"/>
      <c r="J25" s="150"/>
      <c r="K25" s="150"/>
      <c r="L25" s="150"/>
      <c r="M25" s="150"/>
      <c r="N25" s="150">
        <f>O$22*50%</f>
        <v>898145000</v>
      </c>
      <c r="O25" s="150">
        <f>O$22*50%</f>
        <v>898145000</v>
      </c>
      <c r="P25" s="150"/>
      <c r="Q25" s="141" t="s">
        <v>268</v>
      </c>
    </row>
    <row r="26" spans="3:17" ht="24.75" thickTop="1" thickBot="1">
      <c r="C26" s="141"/>
      <c r="D26" s="149">
        <f t="shared" si="18"/>
        <v>1585890000</v>
      </c>
      <c r="E26" s="150"/>
      <c r="F26" s="150"/>
      <c r="G26" s="150"/>
      <c r="H26" s="150"/>
      <c r="I26" s="150"/>
      <c r="J26" s="150"/>
      <c r="K26" s="150"/>
      <c r="L26" s="150"/>
      <c r="M26" s="150">
        <f>N$22*50%</f>
        <v>792945000</v>
      </c>
      <c r="N26" s="150">
        <f>N$22*50%</f>
        <v>792945000</v>
      </c>
      <c r="O26" s="150"/>
      <c r="P26" s="150"/>
      <c r="Q26" s="141" t="s">
        <v>269</v>
      </c>
    </row>
    <row r="27" spans="3:17" ht="24.75" thickTop="1" thickBot="1">
      <c r="C27" s="141"/>
      <c r="D27" s="149">
        <f t="shared" si="18"/>
        <v>1585890000</v>
      </c>
      <c r="E27" s="150"/>
      <c r="F27" s="150"/>
      <c r="G27" s="150"/>
      <c r="H27" s="150"/>
      <c r="I27" s="150"/>
      <c r="J27" s="150"/>
      <c r="K27" s="150"/>
      <c r="L27" s="150">
        <f>M$22*50%</f>
        <v>792945000</v>
      </c>
      <c r="M27" s="150">
        <f>M$22*50%</f>
        <v>792945000</v>
      </c>
      <c r="N27" s="150"/>
      <c r="O27" s="150"/>
      <c r="P27" s="150"/>
      <c r="Q27" s="141" t="s">
        <v>270</v>
      </c>
    </row>
    <row r="28" spans="3:17" ht="24.75" thickTop="1" thickBot="1">
      <c r="C28" s="141"/>
      <c r="D28" s="149">
        <f t="shared" si="18"/>
        <v>1585890000</v>
      </c>
      <c r="E28" s="150"/>
      <c r="F28" s="150"/>
      <c r="G28" s="150"/>
      <c r="H28" s="150"/>
      <c r="I28" s="150"/>
      <c r="J28" s="150"/>
      <c r="K28" s="150">
        <f>L$22*50%</f>
        <v>792945000</v>
      </c>
      <c r="L28" s="150">
        <f>L$22*50%</f>
        <v>792945000</v>
      </c>
      <c r="M28" s="150"/>
      <c r="N28" s="150"/>
      <c r="O28" s="150"/>
      <c r="P28" s="150"/>
      <c r="Q28" s="141" t="s">
        <v>271</v>
      </c>
    </row>
    <row r="29" spans="3:17" ht="24.75" thickTop="1" thickBot="1">
      <c r="C29" s="141"/>
      <c r="D29" s="149">
        <f t="shared" si="18"/>
        <v>1585890000</v>
      </c>
      <c r="E29" s="150"/>
      <c r="F29" s="150"/>
      <c r="G29" s="150"/>
      <c r="H29" s="150"/>
      <c r="I29" s="150"/>
      <c r="J29" s="150">
        <f>K$22*50%</f>
        <v>792945000</v>
      </c>
      <c r="K29" s="150">
        <f>K$22*50%</f>
        <v>792945000</v>
      </c>
      <c r="L29" s="150"/>
      <c r="M29" s="150"/>
      <c r="N29" s="150"/>
      <c r="O29" s="150"/>
      <c r="P29" s="150"/>
      <c r="Q29" s="141" t="s">
        <v>272</v>
      </c>
    </row>
    <row r="30" spans="3:17" ht="24.75" thickTop="1" thickBot="1">
      <c r="C30" s="141"/>
      <c r="D30" s="149">
        <f t="shared" si="18"/>
        <v>4150771200</v>
      </c>
      <c r="E30" s="150"/>
      <c r="F30" s="150"/>
      <c r="G30" s="150"/>
      <c r="H30" s="150"/>
      <c r="I30" s="150">
        <f>J$22*50%</f>
        <v>2075385600</v>
      </c>
      <c r="J30" s="150">
        <f>J$22*50%</f>
        <v>2075385600</v>
      </c>
      <c r="K30" s="150"/>
      <c r="L30" s="150"/>
      <c r="M30" s="150"/>
      <c r="N30" s="150"/>
      <c r="O30" s="150"/>
      <c r="P30" s="150"/>
      <c r="Q30" s="141" t="s">
        <v>273</v>
      </c>
    </row>
    <row r="31" spans="3:17" ht="24.75" thickTop="1" thickBot="1">
      <c r="C31" s="141"/>
      <c r="D31" s="149">
        <f t="shared" si="18"/>
        <v>2158704000</v>
      </c>
      <c r="E31" s="150"/>
      <c r="F31" s="150"/>
      <c r="G31" s="150"/>
      <c r="H31" s="150">
        <f>I$22*50%</f>
        <v>1079352000</v>
      </c>
      <c r="I31" s="150">
        <f>I$22*50%</f>
        <v>1079352000</v>
      </c>
      <c r="J31" s="150"/>
      <c r="K31" s="150"/>
      <c r="L31" s="150"/>
      <c r="M31" s="150"/>
      <c r="N31" s="150"/>
      <c r="O31" s="150"/>
      <c r="P31" s="150"/>
      <c r="Q31" s="141" t="s">
        <v>274</v>
      </c>
    </row>
    <row r="32" spans="3:17" ht="24.75" thickTop="1" thickBot="1">
      <c r="C32" s="141"/>
      <c r="D32" s="149">
        <f t="shared" si="18"/>
        <v>2537424000</v>
      </c>
      <c r="E32" s="150"/>
      <c r="F32" s="150"/>
      <c r="G32" s="150">
        <f>H$22*50%</f>
        <v>1268712000</v>
      </c>
      <c r="H32" s="150">
        <f>H$22*50%</f>
        <v>1268712000</v>
      </c>
      <c r="I32" s="150"/>
      <c r="J32" s="150"/>
      <c r="K32" s="150"/>
      <c r="L32" s="150"/>
      <c r="M32" s="150"/>
      <c r="N32" s="150"/>
      <c r="O32" s="150"/>
      <c r="P32" s="150"/>
      <c r="Q32" s="141" t="s">
        <v>275</v>
      </c>
    </row>
    <row r="33" spans="3:19" ht="24.75" thickTop="1" thickBot="1">
      <c r="C33" s="141"/>
      <c r="D33" s="149">
        <f t="shared" si="18"/>
        <v>3392384400.000001</v>
      </c>
      <c r="E33" s="150"/>
      <c r="F33" s="150">
        <f>G$22*50%</f>
        <v>1696192200.0000005</v>
      </c>
      <c r="G33" s="150">
        <f>G$22*50%</f>
        <v>1696192200.0000005</v>
      </c>
      <c r="H33" s="150"/>
      <c r="I33" s="150"/>
      <c r="J33" s="150"/>
      <c r="K33" s="150"/>
      <c r="L33" s="150"/>
      <c r="M33" s="150"/>
      <c r="N33" s="150"/>
      <c r="O33" s="150"/>
      <c r="P33" s="150"/>
      <c r="Q33" s="141" t="s">
        <v>276</v>
      </c>
    </row>
    <row r="34" spans="3:19" ht="24.75" thickTop="1" thickBot="1">
      <c r="C34" s="141"/>
      <c r="D34" s="149">
        <f t="shared" si="18"/>
        <v>3583322399.9999995</v>
      </c>
      <c r="E34" s="150">
        <f>F$22*50%</f>
        <v>1791661199.9999998</v>
      </c>
      <c r="F34" s="150">
        <f>F$22*50%</f>
        <v>1791661199.9999998</v>
      </c>
      <c r="G34" s="150"/>
      <c r="H34" s="150"/>
      <c r="I34" s="150"/>
      <c r="J34" s="150"/>
      <c r="K34" s="150"/>
      <c r="L34" s="150"/>
      <c r="M34" s="150"/>
      <c r="N34" s="150"/>
      <c r="O34" s="150"/>
      <c r="P34" s="150"/>
      <c r="Q34" s="141" t="s">
        <v>277</v>
      </c>
    </row>
    <row r="35" spans="3:19" ht="24.75" thickTop="1" thickBot="1">
      <c r="C35" s="141">
        <f>E22*50%</f>
        <v>1522770000</v>
      </c>
      <c r="D35" s="149">
        <f t="shared" si="18"/>
        <v>1522770000</v>
      </c>
      <c r="E35" s="150">
        <f>E22*50%</f>
        <v>1522770000</v>
      </c>
      <c r="F35" s="150"/>
      <c r="G35" s="150"/>
      <c r="H35" s="150"/>
      <c r="I35" s="150"/>
      <c r="J35" s="150"/>
      <c r="K35" s="150"/>
      <c r="L35" s="150"/>
      <c r="M35" s="150"/>
      <c r="N35" s="150"/>
      <c r="O35" s="150"/>
      <c r="P35" s="150"/>
      <c r="Q35" s="141" t="s">
        <v>278</v>
      </c>
    </row>
    <row r="36" spans="3:19" ht="48" thickTop="1" thickBot="1">
      <c r="C36" s="151">
        <f t="shared" ref="C36:O36" si="19">SUM(C24:C35)</f>
        <v>1522770000</v>
      </c>
      <c r="D36" s="151">
        <f t="shared" si="19"/>
        <v>26166428000</v>
      </c>
      <c r="E36" s="151">
        <f t="shared" si="19"/>
        <v>3314431200</v>
      </c>
      <c r="F36" s="151">
        <f t="shared" si="19"/>
        <v>3487853400</v>
      </c>
      <c r="G36" s="151">
        <f t="shared" si="19"/>
        <v>2964904200.0000005</v>
      </c>
      <c r="H36" s="151">
        <f t="shared" si="19"/>
        <v>2348064000</v>
      </c>
      <c r="I36" s="151">
        <f t="shared" si="19"/>
        <v>3154737600</v>
      </c>
      <c r="J36" s="151">
        <f t="shared" si="19"/>
        <v>2868330600</v>
      </c>
      <c r="K36" s="151">
        <f t="shared" si="19"/>
        <v>1585890000</v>
      </c>
      <c r="L36" s="151">
        <f t="shared" si="19"/>
        <v>1585890000</v>
      </c>
      <c r="M36" s="151">
        <f t="shared" si="19"/>
        <v>1585890000</v>
      </c>
      <c r="N36" s="151">
        <f t="shared" si="19"/>
        <v>1691090000</v>
      </c>
      <c r="O36" s="151">
        <f t="shared" si="19"/>
        <v>1238746000</v>
      </c>
      <c r="P36" s="151">
        <f>SUM(P24:P35)</f>
        <v>340601000</v>
      </c>
      <c r="Q36" s="152" t="s">
        <v>264</v>
      </c>
    </row>
    <row r="37" spans="3:19" ht="24" thickTop="1"/>
    <row r="38" spans="3:19" ht="24" thickBot="1">
      <c r="Q38" s="153" t="s">
        <v>265</v>
      </c>
    </row>
    <row r="39" spans="3:19" ht="24.75" thickTop="1" thickBot="1">
      <c r="D39" s="154" t="s">
        <v>12</v>
      </c>
      <c r="E39" s="155" t="s">
        <v>41</v>
      </c>
      <c r="F39" s="156" t="s">
        <v>10</v>
      </c>
      <c r="G39" s="156" t="s">
        <v>254</v>
      </c>
      <c r="H39" s="156" t="s">
        <v>8</v>
      </c>
      <c r="I39" s="156" t="s">
        <v>40</v>
      </c>
      <c r="J39" s="156" t="s">
        <v>6</v>
      </c>
      <c r="K39" s="156" t="s">
        <v>253</v>
      </c>
      <c r="L39" s="156" t="s">
        <v>4</v>
      </c>
      <c r="M39" s="156" t="s">
        <v>266</v>
      </c>
      <c r="N39" s="156" t="s">
        <v>2</v>
      </c>
      <c r="O39" s="156" t="s">
        <v>251</v>
      </c>
      <c r="P39" s="156" t="s">
        <v>250</v>
      </c>
      <c r="Q39" s="141" t="s">
        <v>256</v>
      </c>
    </row>
    <row r="40" spans="3:19" ht="24.75" thickTop="1" thickBot="1">
      <c r="C40" s="158" t="s">
        <v>761</v>
      </c>
      <c r="D40" s="157">
        <f>P40</f>
        <v>1700000000</v>
      </c>
      <c r="E40" s="115">
        <f t="shared" ref="E40:N40" si="20">F46</f>
        <v>2663664000</v>
      </c>
      <c r="F40" s="115">
        <f t="shared" si="20"/>
        <v>2409921600.0000005</v>
      </c>
      <c r="G40" s="115">
        <f t="shared" si="20"/>
        <v>2029939200</v>
      </c>
      <c r="H40" s="115">
        <f t="shared" si="20"/>
        <v>2029939200</v>
      </c>
      <c r="I40" s="115">
        <f t="shared" si="20"/>
        <v>2408659200</v>
      </c>
      <c r="J40" s="115">
        <f t="shared" si="20"/>
        <v>1268712000</v>
      </c>
      <c r="K40" s="115">
        <f t="shared" si="20"/>
        <v>1268712000</v>
      </c>
      <c r="L40" s="115">
        <f t="shared" si="20"/>
        <v>1268712000</v>
      </c>
      <c r="M40" s="115">
        <f t="shared" si="20"/>
        <v>1268712000</v>
      </c>
      <c r="N40" s="115">
        <f t="shared" si="20"/>
        <v>1268712000</v>
      </c>
      <c r="O40" s="115">
        <f>P46</f>
        <v>1058312000</v>
      </c>
      <c r="P40" s="115">
        <f>'اطاعات تفصیلی سال قبل'!S31+'اطاعات تفصیلی سال قبل'!S32</f>
        <v>1700000000</v>
      </c>
      <c r="Q40" s="158" t="s">
        <v>440</v>
      </c>
    </row>
    <row r="41" spans="3:19" ht="24" thickBot="1">
      <c r="C41" s="163" t="s">
        <v>762</v>
      </c>
      <c r="D41" s="160">
        <f>SUM(E41:P41)</f>
        <v>27689198000</v>
      </c>
      <c r="E41" s="160">
        <f t="shared" ref="E41:O41" si="21">IF(E42&lt;E40,0,E42-E40)</f>
        <v>3045540000</v>
      </c>
      <c r="F41" s="160">
        <f t="shared" si="21"/>
        <v>3583322399.9999995</v>
      </c>
      <c r="G41" s="160">
        <f t="shared" si="21"/>
        <v>3392384400.000001</v>
      </c>
      <c r="H41" s="160">
        <f t="shared" si="21"/>
        <v>2537424000</v>
      </c>
      <c r="I41" s="160">
        <f t="shared" si="21"/>
        <v>2158704000</v>
      </c>
      <c r="J41" s="160">
        <f t="shared" si="21"/>
        <v>4150771200</v>
      </c>
      <c r="K41" s="160">
        <f t="shared" si="21"/>
        <v>1585890000</v>
      </c>
      <c r="L41" s="160">
        <f t="shared" si="21"/>
        <v>1585890000</v>
      </c>
      <c r="M41" s="160">
        <f t="shared" si="21"/>
        <v>1585890000</v>
      </c>
      <c r="N41" s="160">
        <f t="shared" si="21"/>
        <v>1585890000</v>
      </c>
      <c r="O41" s="160">
        <f t="shared" si="21"/>
        <v>1796290000</v>
      </c>
      <c r="P41" s="160">
        <f>IF(P42&lt;P40,0,P42-P40)</f>
        <v>681202000</v>
      </c>
      <c r="Q41" s="159" t="s">
        <v>441</v>
      </c>
    </row>
    <row r="42" spans="3:19" ht="24" thickBot="1">
      <c r="C42" s="165" t="s">
        <v>328</v>
      </c>
      <c r="D42" s="164">
        <f t="shared" ref="D42:P42" si="22">D43+D44</f>
        <v>29389197999.999996</v>
      </c>
      <c r="E42" s="164">
        <f t="shared" si="22"/>
        <v>5709204000</v>
      </c>
      <c r="F42" s="164">
        <f t="shared" si="22"/>
        <v>5993244000</v>
      </c>
      <c r="G42" s="164">
        <f t="shared" si="22"/>
        <v>5422323600.000001</v>
      </c>
      <c r="H42" s="164">
        <f t="shared" si="22"/>
        <v>4567363200</v>
      </c>
      <c r="I42" s="164">
        <f t="shared" si="22"/>
        <v>4567363200</v>
      </c>
      <c r="J42" s="164">
        <f t="shared" si="22"/>
        <v>5419483200</v>
      </c>
      <c r="K42" s="164">
        <f t="shared" si="22"/>
        <v>2854602000</v>
      </c>
      <c r="L42" s="164">
        <f t="shared" si="22"/>
        <v>2854602000</v>
      </c>
      <c r="M42" s="164">
        <f t="shared" si="22"/>
        <v>2854602000</v>
      </c>
      <c r="N42" s="164">
        <f t="shared" si="22"/>
        <v>2854602000</v>
      </c>
      <c r="O42" s="164">
        <f t="shared" si="22"/>
        <v>2854602000</v>
      </c>
      <c r="P42" s="164">
        <f t="shared" si="22"/>
        <v>2381202000</v>
      </c>
      <c r="Q42" s="165" t="s">
        <v>442</v>
      </c>
    </row>
    <row r="43" spans="3:19" ht="24" thickBot="1">
      <c r="C43" s="161" t="s">
        <v>329</v>
      </c>
      <c r="D43" s="160">
        <f>D9*bom!$L18</f>
        <v>26851773999.999996</v>
      </c>
      <c r="E43" s="160">
        <f>E9*bom!$L18</f>
        <v>3171780000</v>
      </c>
      <c r="F43" s="160">
        <f>F9*bom!$L18</f>
        <v>3329580000</v>
      </c>
      <c r="G43" s="160">
        <f>G9*bom!$L18</f>
        <v>3012402000.0000005</v>
      </c>
      <c r="H43" s="160">
        <f>H9*bom!$L18</f>
        <v>2537424000</v>
      </c>
      <c r="I43" s="160">
        <f>I9*bom!$L18</f>
        <v>2537424000</v>
      </c>
      <c r="J43" s="160">
        <f>J9*bom!$L18</f>
        <v>3010824000</v>
      </c>
      <c r="K43" s="160">
        <f>K9*bom!$L18</f>
        <v>1585890000</v>
      </c>
      <c r="L43" s="160">
        <f>L9*bom!$L18</f>
        <v>1585890000</v>
      </c>
      <c r="M43" s="160">
        <f>M9*bom!$L18</f>
        <v>1585890000</v>
      </c>
      <c r="N43" s="160">
        <f>N9*bom!$L18</f>
        <v>1585890000</v>
      </c>
      <c r="O43" s="160">
        <f>O9*bom!$L18</f>
        <v>1585890000</v>
      </c>
      <c r="P43" s="160">
        <f>P9*bom!$L18</f>
        <v>1322890000</v>
      </c>
      <c r="Q43" s="161" t="s">
        <v>443</v>
      </c>
    </row>
    <row r="44" spans="3:19" ht="24.75" thickTop="1" thickBot="1">
      <c r="C44" s="162" t="s">
        <v>763</v>
      </c>
      <c r="D44" s="252">
        <f>E46</f>
        <v>2537424000</v>
      </c>
      <c r="E44" s="253">
        <f t="shared" ref="E44:P44" si="23">E43*$R46%</f>
        <v>2537424000</v>
      </c>
      <c r="F44" s="253">
        <f t="shared" si="23"/>
        <v>2663664000</v>
      </c>
      <c r="G44" s="253">
        <f t="shared" si="23"/>
        <v>2409921600.0000005</v>
      </c>
      <c r="H44" s="253">
        <f t="shared" si="23"/>
        <v>2029939200</v>
      </c>
      <c r="I44" s="253">
        <f t="shared" si="23"/>
        <v>2029939200</v>
      </c>
      <c r="J44" s="253">
        <f t="shared" si="23"/>
        <v>2408659200</v>
      </c>
      <c r="K44" s="253">
        <f t="shared" si="23"/>
        <v>1268712000</v>
      </c>
      <c r="L44" s="253">
        <f t="shared" si="23"/>
        <v>1268712000</v>
      </c>
      <c r="M44" s="253">
        <f t="shared" si="23"/>
        <v>1268712000</v>
      </c>
      <c r="N44" s="253">
        <f t="shared" si="23"/>
        <v>1268712000</v>
      </c>
      <c r="O44" s="253">
        <f t="shared" si="23"/>
        <v>1268712000</v>
      </c>
      <c r="P44" s="253">
        <f t="shared" si="23"/>
        <v>1058312000</v>
      </c>
      <c r="Q44" s="254" t="s">
        <v>444</v>
      </c>
    </row>
    <row r="45" spans="3:19" ht="24" thickBot="1">
      <c r="D45" s="255"/>
      <c r="E45" s="251">
        <f t="shared" ref="E45:O45" si="24">IF(E42&lt;E40,E40-E42,0)</f>
        <v>0</v>
      </c>
      <c r="F45" s="251">
        <f t="shared" si="24"/>
        <v>0</v>
      </c>
      <c r="G45" s="251">
        <f t="shared" si="24"/>
        <v>0</v>
      </c>
      <c r="H45" s="251">
        <f t="shared" si="24"/>
        <v>0</v>
      </c>
      <c r="I45" s="251">
        <f t="shared" si="24"/>
        <v>0</v>
      </c>
      <c r="J45" s="251">
        <f t="shared" si="24"/>
        <v>0</v>
      </c>
      <c r="K45" s="251">
        <f t="shared" si="24"/>
        <v>0</v>
      </c>
      <c r="L45" s="251">
        <f t="shared" si="24"/>
        <v>0</v>
      </c>
      <c r="M45" s="251">
        <f t="shared" si="24"/>
        <v>0</v>
      </c>
      <c r="N45" s="251">
        <f t="shared" si="24"/>
        <v>0</v>
      </c>
      <c r="O45" s="251">
        <f t="shared" si="24"/>
        <v>0</v>
      </c>
      <c r="P45" s="251">
        <f>IF(P42&lt;P40,P40-P42,0)</f>
        <v>0</v>
      </c>
      <c r="Q45" s="251" t="str">
        <f>IF(P45&gt;0,"مازاد کالا","عادی")</f>
        <v>عادی</v>
      </c>
    </row>
    <row r="46" spans="3:19" ht="24" thickBot="1">
      <c r="D46" s="255"/>
      <c r="E46" s="251">
        <f t="shared" ref="E46:O46" si="25">E44+E45</f>
        <v>2537424000</v>
      </c>
      <c r="F46" s="251">
        <f t="shared" si="25"/>
        <v>2663664000</v>
      </c>
      <c r="G46" s="251">
        <f t="shared" si="25"/>
        <v>2409921600.0000005</v>
      </c>
      <c r="H46" s="251">
        <f t="shared" si="25"/>
        <v>2029939200</v>
      </c>
      <c r="I46" s="251">
        <f t="shared" si="25"/>
        <v>2029939200</v>
      </c>
      <c r="J46" s="251">
        <f t="shared" si="25"/>
        <v>2408659200</v>
      </c>
      <c r="K46" s="251">
        <f t="shared" si="25"/>
        <v>1268712000</v>
      </c>
      <c r="L46" s="251">
        <f t="shared" si="25"/>
        <v>1268712000</v>
      </c>
      <c r="M46" s="251">
        <f t="shared" si="25"/>
        <v>1268712000</v>
      </c>
      <c r="N46" s="251">
        <f t="shared" si="25"/>
        <v>1268712000</v>
      </c>
      <c r="O46" s="251">
        <f t="shared" si="25"/>
        <v>1268712000</v>
      </c>
      <c r="P46" s="251">
        <f>P44+P45</f>
        <v>1058312000</v>
      </c>
      <c r="Q46" s="251" t="s">
        <v>463</v>
      </c>
      <c r="R46" s="118">
        <v>80</v>
      </c>
      <c r="S46" s="118" t="s">
        <v>327</v>
      </c>
    </row>
  </sheetData>
  <mergeCells count="10">
    <mergeCell ref="Q21:Q22"/>
    <mergeCell ref="C21:C22"/>
    <mergeCell ref="D5:D7"/>
    <mergeCell ref="G5:P5"/>
    <mergeCell ref="C5:C7"/>
    <mergeCell ref="B5:B7"/>
    <mergeCell ref="A5:A7"/>
    <mergeCell ref="A8:C8"/>
    <mergeCell ref="A10:C13"/>
    <mergeCell ref="Q5:Q7"/>
  </mergeCells>
  <hyperlinks>
    <hyperlink ref="Q3" r:id="rId1" location="'فهرست مطالب'!A1"/>
  </hyperlinks>
  <pageMargins left="0.7" right="0.7" top="0.75" bottom="0.75" header="0.3" footer="0.3"/>
  <pageSetup paperSize="9" orientation="portrait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C2:AA28"/>
  <sheetViews>
    <sheetView topLeftCell="K1" zoomScale="90" zoomScaleNormal="90" workbookViewId="0">
      <selection activeCell="S6" sqref="S6"/>
    </sheetView>
  </sheetViews>
  <sheetFormatPr defaultColWidth="9.140625" defaultRowHeight="23.25"/>
  <cols>
    <col min="1" max="1" width="9.140625" style="24"/>
    <col min="2" max="2" width="9.140625" style="24" customWidth="1"/>
    <col min="3" max="3" width="23.42578125" style="24" bestFit="1" customWidth="1"/>
    <col min="4" max="4" width="25.7109375" style="24" bestFit="1" customWidth="1"/>
    <col min="5" max="16" width="23.85546875" style="24" bestFit="1" customWidth="1"/>
    <col min="17" max="17" width="36.28515625" style="24" bestFit="1" customWidth="1"/>
    <col min="18" max="18" width="6.7109375" style="182" customWidth="1"/>
    <col min="19" max="19" width="23.7109375" style="24" customWidth="1"/>
    <col min="20" max="20" width="38.7109375" style="24" bestFit="1" customWidth="1"/>
    <col min="21" max="21" width="26" style="24" bestFit="1" customWidth="1"/>
    <col min="22" max="22" width="18.85546875" style="24" bestFit="1" customWidth="1"/>
    <col min="23" max="16384" width="9.140625" style="24"/>
  </cols>
  <sheetData>
    <row r="2" spans="3:27">
      <c r="D2" s="600" t="s">
        <v>701</v>
      </c>
      <c r="E2" s="600"/>
      <c r="F2" s="600"/>
      <c r="G2" s="600"/>
      <c r="H2" s="600"/>
      <c r="I2" s="600"/>
      <c r="J2" s="600"/>
      <c r="K2" s="600"/>
      <c r="L2" s="600"/>
      <c r="M2" s="600"/>
      <c r="N2" s="600"/>
      <c r="O2" s="600"/>
      <c r="P2" s="600"/>
      <c r="Q2" s="600"/>
      <c r="R2" s="181"/>
    </row>
    <row r="3" spans="3:27">
      <c r="D3" s="601"/>
      <c r="E3" s="601"/>
      <c r="F3" s="601"/>
      <c r="G3" s="601"/>
      <c r="H3" s="601"/>
      <c r="I3" s="601"/>
      <c r="J3" s="601"/>
      <c r="K3" s="601"/>
      <c r="L3" s="601"/>
      <c r="M3" s="601"/>
      <c r="N3" s="601"/>
      <c r="O3" s="601"/>
      <c r="P3" s="601"/>
      <c r="Q3" s="601"/>
      <c r="R3" s="181"/>
    </row>
    <row r="4" spans="3:27" ht="24" thickBot="1">
      <c r="D4" s="169"/>
      <c r="E4" s="170">
        <v>2</v>
      </c>
      <c r="F4" s="170">
        <v>2</v>
      </c>
      <c r="G4" s="170">
        <v>1.8</v>
      </c>
      <c r="H4" s="170">
        <v>1.6</v>
      </c>
      <c r="I4" s="170">
        <v>1.6</v>
      </c>
      <c r="J4" s="170">
        <v>1.6</v>
      </c>
      <c r="K4" s="170">
        <v>1</v>
      </c>
      <c r="L4" s="170">
        <v>1</v>
      </c>
      <c r="M4" s="170">
        <v>1</v>
      </c>
      <c r="N4" s="170">
        <v>1</v>
      </c>
      <c r="O4" s="170">
        <v>1</v>
      </c>
      <c r="P4" s="201">
        <v>1</v>
      </c>
      <c r="Q4" s="200" t="s">
        <v>353</v>
      </c>
      <c r="R4" s="181"/>
      <c r="S4" s="243"/>
      <c r="T4" s="243"/>
    </row>
    <row r="5" spans="3:27" ht="24.75" thickTop="1" thickBot="1">
      <c r="D5" s="169"/>
      <c r="E5" s="170">
        <v>1</v>
      </c>
      <c r="F5" s="170">
        <v>1</v>
      </c>
      <c r="G5" s="170">
        <v>1</v>
      </c>
      <c r="H5" s="170">
        <v>1</v>
      </c>
      <c r="I5" s="170">
        <v>1</v>
      </c>
      <c r="J5" s="170">
        <v>1</v>
      </c>
      <c r="K5" s="170">
        <v>1</v>
      </c>
      <c r="L5" s="170">
        <v>1</v>
      </c>
      <c r="M5" s="170">
        <v>1</v>
      </c>
      <c r="N5" s="170">
        <v>1</v>
      </c>
      <c r="O5" s="170">
        <v>1</v>
      </c>
      <c r="P5" s="201">
        <v>1</v>
      </c>
      <c r="Q5" s="200" t="s">
        <v>352</v>
      </c>
      <c r="R5" s="181"/>
      <c r="S5" s="124">
        <v>600</v>
      </c>
      <c r="T5" s="124" t="s">
        <v>691</v>
      </c>
    </row>
    <row r="6" spans="3:27" ht="27" customHeight="1" thickTop="1" thickBot="1">
      <c r="C6" s="123"/>
      <c r="D6" s="167" t="s">
        <v>726</v>
      </c>
      <c r="E6" s="167" t="s">
        <v>11</v>
      </c>
      <c r="F6" s="167" t="s">
        <v>10</v>
      </c>
      <c r="G6" s="167" t="s">
        <v>9</v>
      </c>
      <c r="H6" s="167" t="s">
        <v>8</v>
      </c>
      <c r="I6" s="167" t="s">
        <v>7</v>
      </c>
      <c r="J6" s="167" t="s">
        <v>6</v>
      </c>
      <c r="K6" s="167" t="s">
        <v>5</v>
      </c>
      <c r="L6" s="167" t="s">
        <v>4</v>
      </c>
      <c r="M6" s="167" t="s">
        <v>3</v>
      </c>
      <c r="N6" s="167" t="s">
        <v>2</v>
      </c>
      <c r="O6" s="167" t="s">
        <v>1</v>
      </c>
      <c r="P6" s="168" t="s">
        <v>0</v>
      </c>
      <c r="Q6" s="203" t="s">
        <v>340</v>
      </c>
      <c r="R6" s="181"/>
      <c r="S6" s="124">
        <v>13000000</v>
      </c>
      <c r="T6" s="124" t="s">
        <v>451</v>
      </c>
      <c r="AA6" s="46"/>
    </row>
    <row r="7" spans="3:27" ht="24.75" customHeight="1" thickTop="1" thickBot="1">
      <c r="C7" s="119"/>
      <c r="D7" s="46">
        <f>SUM(E7:Q7)</f>
        <v>9960</v>
      </c>
      <c r="E7" s="46">
        <f t="shared" ref="E7:P7" si="0">$S5*E4</f>
        <v>1200</v>
      </c>
      <c r="F7" s="46">
        <f t="shared" si="0"/>
        <v>1200</v>
      </c>
      <c r="G7" s="46">
        <f t="shared" si="0"/>
        <v>1080</v>
      </c>
      <c r="H7" s="46">
        <f t="shared" si="0"/>
        <v>960</v>
      </c>
      <c r="I7" s="46">
        <f t="shared" si="0"/>
        <v>960</v>
      </c>
      <c r="J7" s="46">
        <f t="shared" si="0"/>
        <v>960</v>
      </c>
      <c r="K7" s="46">
        <f t="shared" si="0"/>
        <v>600</v>
      </c>
      <c r="L7" s="46">
        <f t="shared" si="0"/>
        <v>600</v>
      </c>
      <c r="M7" s="46">
        <f t="shared" si="0"/>
        <v>600</v>
      </c>
      <c r="N7" s="46">
        <f t="shared" si="0"/>
        <v>600</v>
      </c>
      <c r="O7" s="46">
        <f t="shared" si="0"/>
        <v>600</v>
      </c>
      <c r="P7" s="46">
        <f t="shared" si="0"/>
        <v>600</v>
      </c>
      <c r="Q7" s="204" t="s">
        <v>13</v>
      </c>
      <c r="R7" s="181"/>
      <c r="S7" s="244"/>
      <c r="T7" s="244"/>
    </row>
    <row r="8" spans="3:27" ht="24.75" customHeight="1" thickBot="1">
      <c r="C8" s="119"/>
      <c r="D8" s="46">
        <f>D9/D7</f>
        <v>13000000</v>
      </c>
      <c r="E8" s="202">
        <f t="shared" ref="E8:P8" si="1">$S6*E5</f>
        <v>13000000</v>
      </c>
      <c r="F8" s="202">
        <f t="shared" si="1"/>
        <v>13000000</v>
      </c>
      <c r="G8" s="202">
        <f t="shared" si="1"/>
        <v>13000000</v>
      </c>
      <c r="H8" s="202">
        <f t="shared" si="1"/>
        <v>13000000</v>
      </c>
      <c r="I8" s="202">
        <f t="shared" si="1"/>
        <v>13000000</v>
      </c>
      <c r="J8" s="202">
        <f t="shared" si="1"/>
        <v>13000000</v>
      </c>
      <c r="K8" s="202">
        <f t="shared" si="1"/>
        <v>13000000</v>
      </c>
      <c r="L8" s="202">
        <f t="shared" si="1"/>
        <v>13000000</v>
      </c>
      <c r="M8" s="202">
        <f t="shared" si="1"/>
        <v>13000000</v>
      </c>
      <c r="N8" s="202">
        <f t="shared" si="1"/>
        <v>13000000</v>
      </c>
      <c r="O8" s="202">
        <f t="shared" si="1"/>
        <v>13000000</v>
      </c>
      <c r="P8" s="202">
        <f t="shared" si="1"/>
        <v>13000000</v>
      </c>
      <c r="Q8" s="204" t="s">
        <v>14</v>
      </c>
      <c r="R8" s="181"/>
      <c r="S8" s="193"/>
      <c r="T8" s="193"/>
    </row>
    <row r="9" spans="3:27" ht="29.25" customHeight="1" thickBot="1">
      <c r="C9" s="119"/>
      <c r="D9" s="205">
        <f>SUM(E9:Q9)</f>
        <v>129480000000</v>
      </c>
      <c r="E9" s="205">
        <f t="shared" ref="E9:O9" si="2">E7*E8</f>
        <v>15600000000</v>
      </c>
      <c r="F9" s="205">
        <f t="shared" si="2"/>
        <v>15600000000</v>
      </c>
      <c r="G9" s="205">
        <f t="shared" si="2"/>
        <v>14040000000</v>
      </c>
      <c r="H9" s="205">
        <f t="shared" si="2"/>
        <v>12480000000</v>
      </c>
      <c r="I9" s="205">
        <f t="shared" si="2"/>
        <v>12480000000</v>
      </c>
      <c r="J9" s="205">
        <f t="shared" si="2"/>
        <v>12480000000</v>
      </c>
      <c r="K9" s="205">
        <f t="shared" si="2"/>
        <v>7800000000</v>
      </c>
      <c r="L9" s="205">
        <f t="shared" si="2"/>
        <v>7800000000</v>
      </c>
      <c r="M9" s="205">
        <f t="shared" si="2"/>
        <v>7800000000</v>
      </c>
      <c r="N9" s="205">
        <f t="shared" si="2"/>
        <v>7800000000</v>
      </c>
      <c r="O9" s="205">
        <f t="shared" si="2"/>
        <v>7800000000</v>
      </c>
      <c r="P9" s="206">
        <f>P7*P8</f>
        <v>7800000000</v>
      </c>
      <c r="Q9" s="207" t="s">
        <v>386</v>
      </c>
      <c r="R9" s="181"/>
      <c r="S9" s="193"/>
      <c r="T9" s="193"/>
    </row>
    <row r="10" spans="3:27" ht="29.25" customHeight="1" thickBot="1">
      <c r="C10" s="109"/>
      <c r="D10" s="241">
        <f>D11/D12*100</f>
        <v>4.5340050377833752</v>
      </c>
      <c r="E10" s="241">
        <v>20</v>
      </c>
      <c r="F10" s="241"/>
      <c r="G10" s="241"/>
      <c r="H10" s="241"/>
      <c r="I10" s="241"/>
      <c r="J10" s="241">
        <v>20</v>
      </c>
      <c r="K10" s="241"/>
      <c r="L10" s="241"/>
      <c r="M10" s="241"/>
      <c r="N10" s="241"/>
      <c r="O10" s="241"/>
      <c r="P10" s="242"/>
      <c r="Q10" s="121" t="s">
        <v>452</v>
      </c>
      <c r="R10" s="181"/>
      <c r="S10" s="193"/>
      <c r="T10" s="193"/>
    </row>
    <row r="11" spans="3:27" ht="29.25" customHeight="1" thickBot="1">
      <c r="C11" s="109"/>
      <c r="D11" s="46">
        <f>SUM(E11:P11)</f>
        <v>5616000000</v>
      </c>
      <c r="E11" s="46">
        <f t="shared" ref="E11:O11" si="3">E9*E10%</f>
        <v>3120000000</v>
      </c>
      <c r="F11" s="46">
        <f t="shared" si="3"/>
        <v>0</v>
      </c>
      <c r="G11" s="46">
        <f t="shared" si="3"/>
        <v>0</v>
      </c>
      <c r="H11" s="46">
        <f t="shared" si="3"/>
        <v>0</v>
      </c>
      <c r="I11" s="46">
        <f t="shared" si="3"/>
        <v>0</v>
      </c>
      <c r="J11" s="46">
        <f t="shared" si="3"/>
        <v>2496000000</v>
      </c>
      <c r="K11" s="46">
        <f t="shared" si="3"/>
        <v>0</v>
      </c>
      <c r="L11" s="46">
        <f t="shared" si="3"/>
        <v>0</v>
      </c>
      <c r="M11" s="46">
        <f t="shared" si="3"/>
        <v>0</v>
      </c>
      <c r="N11" s="46">
        <f t="shared" si="3"/>
        <v>0</v>
      </c>
      <c r="O11" s="46">
        <f t="shared" si="3"/>
        <v>0</v>
      </c>
      <c r="P11" s="46">
        <f>P9*P10%</f>
        <v>0</v>
      </c>
      <c r="Q11" s="194" t="s">
        <v>453</v>
      </c>
      <c r="R11" s="181"/>
      <c r="S11" s="447"/>
      <c r="T11" s="447"/>
      <c r="U11" s="193"/>
      <c r="V11" s="193"/>
    </row>
    <row r="12" spans="3:27" ht="29.25" customHeight="1" thickBot="1">
      <c r="C12" s="109"/>
      <c r="D12" s="38">
        <f t="shared" ref="D12:O12" si="4">D9-D11</f>
        <v>123864000000</v>
      </c>
      <c r="E12" s="38">
        <f t="shared" si="4"/>
        <v>12480000000</v>
      </c>
      <c r="F12" s="38">
        <f t="shared" si="4"/>
        <v>15600000000</v>
      </c>
      <c r="G12" s="38">
        <f t="shared" si="4"/>
        <v>14040000000</v>
      </c>
      <c r="H12" s="38">
        <f t="shared" si="4"/>
        <v>12480000000</v>
      </c>
      <c r="I12" s="38">
        <f t="shared" si="4"/>
        <v>12480000000</v>
      </c>
      <c r="J12" s="38">
        <f t="shared" si="4"/>
        <v>9984000000</v>
      </c>
      <c r="K12" s="38">
        <f t="shared" si="4"/>
        <v>7800000000</v>
      </c>
      <c r="L12" s="38">
        <f t="shared" si="4"/>
        <v>7800000000</v>
      </c>
      <c r="M12" s="38">
        <f t="shared" si="4"/>
        <v>7800000000</v>
      </c>
      <c r="N12" s="38">
        <f t="shared" si="4"/>
        <v>7800000000</v>
      </c>
      <c r="O12" s="38">
        <f t="shared" si="4"/>
        <v>7800000000</v>
      </c>
      <c r="P12" s="38">
        <f>P9-P11</f>
        <v>7800000000</v>
      </c>
      <c r="Q12" s="39" t="s">
        <v>385</v>
      </c>
      <c r="R12" s="181"/>
      <c r="U12" s="193"/>
      <c r="V12" s="193"/>
    </row>
    <row r="13" spans="3:27" ht="29.25" customHeight="1" thickBot="1"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09"/>
      <c r="P13" s="109"/>
      <c r="S13" s="446"/>
      <c r="T13" s="446"/>
      <c r="U13" s="602"/>
      <c r="V13" s="193"/>
    </row>
    <row r="14" spans="3:27" ht="29.25" customHeight="1" thickTop="1" thickBot="1">
      <c r="C14" s="110" t="s">
        <v>301</v>
      </c>
      <c r="D14" s="110" t="str">
        <f t="shared" ref="D14:O14" si="5">D6</f>
        <v>جمع فروش سال 97</v>
      </c>
      <c r="E14" s="110" t="str">
        <f t="shared" si="5"/>
        <v xml:space="preserve">اسفند </v>
      </c>
      <c r="F14" s="110" t="str">
        <f t="shared" si="5"/>
        <v>بهمن</v>
      </c>
      <c r="G14" s="110" t="str">
        <f t="shared" si="5"/>
        <v>دی</v>
      </c>
      <c r="H14" s="110" t="str">
        <f t="shared" si="5"/>
        <v>اذر</v>
      </c>
      <c r="I14" s="110" t="str">
        <f t="shared" si="5"/>
        <v>آبان</v>
      </c>
      <c r="J14" s="110" t="str">
        <f t="shared" si="5"/>
        <v>مهر</v>
      </c>
      <c r="K14" s="110" t="str">
        <f t="shared" si="5"/>
        <v>شهریور</v>
      </c>
      <c r="L14" s="110" t="str">
        <f t="shared" si="5"/>
        <v>مرداد</v>
      </c>
      <c r="M14" s="110" t="str">
        <f t="shared" si="5"/>
        <v xml:space="preserve">تیر </v>
      </c>
      <c r="N14" s="110" t="str">
        <f t="shared" si="5"/>
        <v>خرداد</v>
      </c>
      <c r="O14" s="110" t="str">
        <f t="shared" si="5"/>
        <v>اردیبهشت</v>
      </c>
      <c r="P14" s="110" t="str">
        <f>P6</f>
        <v xml:space="preserve">فروردین </v>
      </c>
      <c r="Q14" s="110" t="s">
        <v>300</v>
      </c>
      <c r="R14" s="181"/>
      <c r="S14" s="446"/>
      <c r="T14" s="193"/>
      <c r="U14" s="602"/>
      <c r="V14" s="193"/>
    </row>
    <row r="15" spans="3:27" ht="24.95" customHeight="1" thickTop="1" thickBot="1">
      <c r="C15" s="120"/>
      <c r="D15" s="120">
        <f>SUM(E15:P15)</f>
        <v>7800000000</v>
      </c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>
        <f>P$12*20%</f>
        <v>1560000000</v>
      </c>
      <c r="P15" s="120">
        <f>P$12*80%</f>
        <v>6240000000</v>
      </c>
      <c r="Q15" s="120" t="s">
        <v>16</v>
      </c>
      <c r="R15" s="181"/>
      <c r="S15" s="446"/>
      <c r="T15" s="446"/>
      <c r="U15" s="193"/>
      <c r="V15" s="193"/>
    </row>
    <row r="16" spans="3:27" ht="24.95" customHeight="1" thickBot="1">
      <c r="C16" s="121"/>
      <c r="D16" s="120">
        <f t="shared" ref="D16:D26" si="6">SUM(E16:P16)</f>
        <v>7800000000</v>
      </c>
      <c r="E16" s="121"/>
      <c r="F16" s="121"/>
      <c r="G16" s="121"/>
      <c r="H16" s="121"/>
      <c r="I16" s="121"/>
      <c r="J16" s="121"/>
      <c r="K16" s="121"/>
      <c r="L16" s="121"/>
      <c r="M16" s="121"/>
      <c r="N16" s="120">
        <f>O$12*20%</f>
        <v>1560000000</v>
      </c>
      <c r="O16" s="120">
        <f>O$12*80%</f>
        <v>6240000000</v>
      </c>
      <c r="P16" s="121"/>
      <c r="Q16" s="121" t="s">
        <v>17</v>
      </c>
      <c r="R16" s="181"/>
      <c r="S16" s="446"/>
      <c r="T16" s="446"/>
      <c r="U16" s="193"/>
      <c r="V16" s="193"/>
    </row>
    <row r="17" spans="3:22" ht="24.95" customHeight="1" thickBot="1">
      <c r="C17" s="121"/>
      <c r="D17" s="120">
        <f t="shared" si="6"/>
        <v>7800000000</v>
      </c>
      <c r="E17" s="121"/>
      <c r="F17" s="121"/>
      <c r="G17" s="121"/>
      <c r="H17" s="121"/>
      <c r="I17" s="121"/>
      <c r="J17" s="121"/>
      <c r="K17" s="121"/>
      <c r="L17" s="121"/>
      <c r="M17" s="120">
        <f>N$12*20%</f>
        <v>1560000000</v>
      </c>
      <c r="N17" s="120">
        <f>N$12*80%</f>
        <v>6240000000</v>
      </c>
      <c r="O17" s="121"/>
      <c r="P17" s="121"/>
      <c r="Q17" s="121" t="s">
        <v>18</v>
      </c>
      <c r="R17" s="181"/>
      <c r="S17" s="446"/>
      <c r="T17" s="446"/>
      <c r="U17" s="193"/>
      <c r="V17" s="193"/>
    </row>
    <row r="18" spans="3:22" ht="24.95" customHeight="1" thickBot="1">
      <c r="C18" s="121"/>
      <c r="D18" s="120">
        <f t="shared" si="6"/>
        <v>7800000000</v>
      </c>
      <c r="E18" s="121"/>
      <c r="F18" s="121"/>
      <c r="G18" s="121"/>
      <c r="H18" s="121"/>
      <c r="I18" s="121"/>
      <c r="J18" s="121"/>
      <c r="K18" s="121"/>
      <c r="L18" s="120">
        <f>M$12*20%</f>
        <v>1560000000</v>
      </c>
      <c r="M18" s="120">
        <f>M$12*80%</f>
        <v>6240000000</v>
      </c>
      <c r="N18" s="121"/>
      <c r="O18" s="121"/>
      <c r="P18" s="121"/>
      <c r="Q18" s="121" t="s">
        <v>19</v>
      </c>
      <c r="R18" s="181"/>
      <c r="S18" s="446"/>
      <c r="T18" s="446"/>
      <c r="U18" s="193"/>
      <c r="V18" s="193"/>
    </row>
    <row r="19" spans="3:22" ht="24.95" customHeight="1" thickBot="1">
      <c r="C19" s="121"/>
      <c r="D19" s="120">
        <f t="shared" si="6"/>
        <v>7800000000</v>
      </c>
      <c r="E19" s="121"/>
      <c r="F19" s="121"/>
      <c r="G19" s="121"/>
      <c r="H19" s="121"/>
      <c r="I19" s="121"/>
      <c r="J19" s="121"/>
      <c r="K19" s="120">
        <f>L$12*20%</f>
        <v>1560000000</v>
      </c>
      <c r="L19" s="120">
        <f>L$12*80%</f>
        <v>6240000000</v>
      </c>
      <c r="M19" s="122"/>
      <c r="N19" s="122"/>
      <c r="O19" s="122"/>
      <c r="P19" s="122"/>
      <c r="Q19" s="121" t="s">
        <v>20</v>
      </c>
      <c r="R19" s="181"/>
      <c r="S19" s="446"/>
      <c r="T19" s="446"/>
      <c r="U19" s="193"/>
      <c r="V19" s="193"/>
    </row>
    <row r="20" spans="3:22" ht="24.95" customHeight="1" thickBot="1">
      <c r="C20" s="121"/>
      <c r="D20" s="120">
        <f t="shared" si="6"/>
        <v>7800000000</v>
      </c>
      <c r="E20" s="121"/>
      <c r="F20" s="121"/>
      <c r="G20" s="121"/>
      <c r="H20" s="121"/>
      <c r="I20" s="121"/>
      <c r="J20" s="120">
        <f>K$12*20%</f>
        <v>1560000000</v>
      </c>
      <c r="K20" s="120">
        <f>K$12*80%</f>
        <v>6240000000</v>
      </c>
      <c r="L20" s="121"/>
      <c r="M20" s="121"/>
      <c r="N20" s="121"/>
      <c r="O20" s="121"/>
      <c r="P20" s="121"/>
      <c r="Q20" s="121" t="s">
        <v>21</v>
      </c>
      <c r="R20" s="181"/>
      <c r="S20" s="446"/>
      <c r="T20" s="446"/>
      <c r="U20" s="193"/>
      <c r="V20" s="193"/>
    </row>
    <row r="21" spans="3:22" ht="24.95" customHeight="1" thickBot="1">
      <c r="C21" s="121"/>
      <c r="D21" s="120">
        <f t="shared" si="6"/>
        <v>9984000000</v>
      </c>
      <c r="E21" s="121"/>
      <c r="F21" s="121"/>
      <c r="G21" s="121"/>
      <c r="H21" s="121"/>
      <c r="I21" s="120">
        <f>J$12*20%</f>
        <v>1996800000</v>
      </c>
      <c r="J21" s="120">
        <f>J$12*80%</f>
        <v>7987200000</v>
      </c>
      <c r="K21" s="121"/>
      <c r="L21" s="121"/>
      <c r="M21" s="121"/>
      <c r="N21" s="121"/>
      <c r="O21" s="121"/>
      <c r="P21" s="121"/>
      <c r="Q21" s="121" t="s">
        <v>22</v>
      </c>
      <c r="R21" s="181"/>
      <c r="S21" s="446"/>
      <c r="T21" s="446"/>
      <c r="U21" s="193"/>
      <c r="V21" s="193"/>
    </row>
    <row r="22" spans="3:22" ht="24.95" customHeight="1" thickBot="1">
      <c r="C22" s="121"/>
      <c r="D22" s="120">
        <f t="shared" si="6"/>
        <v>12480000000</v>
      </c>
      <c r="E22" s="121"/>
      <c r="F22" s="121"/>
      <c r="G22" s="121"/>
      <c r="H22" s="120">
        <f>I$12*20%</f>
        <v>2496000000</v>
      </c>
      <c r="I22" s="120">
        <f>I$12*80%</f>
        <v>9984000000</v>
      </c>
      <c r="J22" s="121"/>
      <c r="K22" s="121"/>
      <c r="L22" s="121"/>
      <c r="M22" s="121"/>
      <c r="N22" s="121"/>
      <c r="O22" s="121"/>
      <c r="P22" s="121"/>
      <c r="Q22" s="121" t="s">
        <v>23</v>
      </c>
      <c r="R22" s="181"/>
      <c r="S22" s="446"/>
      <c r="T22" s="446"/>
      <c r="U22" s="193"/>
      <c r="V22" s="193"/>
    </row>
    <row r="23" spans="3:22" ht="24.95" customHeight="1" thickBot="1">
      <c r="C23" s="121"/>
      <c r="D23" s="120">
        <f t="shared" si="6"/>
        <v>12480000000</v>
      </c>
      <c r="E23" s="121"/>
      <c r="F23" s="121"/>
      <c r="G23" s="120">
        <f>H$12*20%</f>
        <v>2496000000</v>
      </c>
      <c r="H23" s="120">
        <f>H$12*80%</f>
        <v>9984000000</v>
      </c>
      <c r="I23" s="122"/>
      <c r="J23" s="122"/>
      <c r="K23" s="122"/>
      <c r="L23" s="122"/>
      <c r="M23" s="122"/>
      <c r="N23" s="122"/>
      <c r="O23" s="122"/>
      <c r="P23" s="122"/>
      <c r="Q23" s="121" t="s">
        <v>24</v>
      </c>
      <c r="R23" s="181"/>
      <c r="S23" s="446"/>
      <c r="T23" s="446"/>
      <c r="U23" s="193"/>
      <c r="V23" s="193"/>
    </row>
    <row r="24" spans="3:22" ht="24.95" customHeight="1" thickBot="1">
      <c r="C24" s="121"/>
      <c r="D24" s="120">
        <f t="shared" si="6"/>
        <v>14040000000</v>
      </c>
      <c r="E24" s="121"/>
      <c r="F24" s="120">
        <f>G$12*20%</f>
        <v>2808000000</v>
      </c>
      <c r="G24" s="120">
        <f>G$12*80%</f>
        <v>11232000000</v>
      </c>
      <c r="H24" s="121"/>
      <c r="I24" s="121"/>
      <c r="J24" s="121"/>
      <c r="K24" s="121"/>
      <c r="L24" s="121"/>
      <c r="M24" s="121"/>
      <c r="N24" s="121"/>
      <c r="O24" s="121"/>
      <c r="P24" s="121"/>
      <c r="Q24" s="121" t="s">
        <v>25</v>
      </c>
      <c r="R24" s="181"/>
      <c r="S24" s="446"/>
      <c r="T24" s="446"/>
      <c r="U24" s="193"/>
      <c r="V24" s="193"/>
    </row>
    <row r="25" spans="3:22" ht="24.95" customHeight="1" thickBot="1">
      <c r="C25" s="121"/>
      <c r="D25" s="120">
        <f t="shared" si="6"/>
        <v>15600000000</v>
      </c>
      <c r="E25" s="120">
        <f>F$12*20%</f>
        <v>3120000000</v>
      </c>
      <c r="F25" s="120">
        <f>F$12*80%</f>
        <v>12480000000</v>
      </c>
      <c r="G25" s="121"/>
      <c r="H25" s="121"/>
      <c r="I25" s="121"/>
      <c r="J25" s="121"/>
      <c r="K25" s="121"/>
      <c r="L25" s="121"/>
      <c r="M25" s="121"/>
      <c r="N25" s="121"/>
      <c r="O25" s="121"/>
      <c r="P25" s="121"/>
      <c r="Q25" s="121" t="s">
        <v>26</v>
      </c>
      <c r="R25" s="181"/>
    </row>
    <row r="26" spans="3:22" ht="24.95" customHeight="1" thickBot="1">
      <c r="C26" s="121">
        <f>E12*20%</f>
        <v>2496000000</v>
      </c>
      <c r="D26" s="120">
        <f t="shared" si="6"/>
        <v>9984000000</v>
      </c>
      <c r="E26" s="121">
        <f>E12*80%</f>
        <v>9984000000</v>
      </c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 t="s">
        <v>27</v>
      </c>
      <c r="R26" s="181"/>
    </row>
    <row r="27" spans="3:22" ht="50.25" customHeight="1" thickBot="1">
      <c r="C27" s="125">
        <f t="shared" ref="C27:O27" si="7">SUM(C15:C26)</f>
        <v>2496000000</v>
      </c>
      <c r="D27" s="125">
        <f t="shared" si="7"/>
        <v>121368000000</v>
      </c>
      <c r="E27" s="125">
        <f t="shared" si="7"/>
        <v>13104000000</v>
      </c>
      <c r="F27" s="125">
        <f t="shared" si="7"/>
        <v>15288000000</v>
      </c>
      <c r="G27" s="125">
        <f t="shared" si="7"/>
        <v>13728000000</v>
      </c>
      <c r="H27" s="125">
        <f t="shared" si="7"/>
        <v>12480000000</v>
      </c>
      <c r="I27" s="125">
        <f t="shared" si="7"/>
        <v>11980800000</v>
      </c>
      <c r="J27" s="125">
        <f t="shared" si="7"/>
        <v>9547200000</v>
      </c>
      <c r="K27" s="125">
        <f t="shared" si="7"/>
        <v>7800000000</v>
      </c>
      <c r="L27" s="125">
        <f t="shared" si="7"/>
        <v>7800000000</v>
      </c>
      <c r="M27" s="125">
        <f t="shared" si="7"/>
        <v>7800000000</v>
      </c>
      <c r="N27" s="125">
        <f t="shared" si="7"/>
        <v>7800000000</v>
      </c>
      <c r="O27" s="125">
        <f t="shared" si="7"/>
        <v>7800000000</v>
      </c>
      <c r="P27" s="125">
        <f>SUM(P15:P26)</f>
        <v>6240000000</v>
      </c>
      <c r="Q27" s="126" t="s">
        <v>28</v>
      </c>
      <c r="R27" s="109"/>
    </row>
    <row r="28" spans="3:22" ht="30" customHeight="1" thickBot="1">
      <c r="C28" s="127" t="s">
        <v>302</v>
      </c>
      <c r="D28" s="597" t="s">
        <v>303</v>
      </c>
      <c r="E28" s="598"/>
      <c r="F28" s="598"/>
      <c r="G28" s="598"/>
      <c r="H28" s="598"/>
      <c r="I28" s="598"/>
      <c r="J28" s="598"/>
      <c r="K28" s="598"/>
      <c r="L28" s="598"/>
      <c r="M28" s="598"/>
      <c r="N28" s="598"/>
      <c r="O28" s="598"/>
      <c r="P28" s="598"/>
      <c r="Q28" s="599"/>
      <c r="R28" s="109"/>
    </row>
  </sheetData>
  <mergeCells count="3">
    <mergeCell ref="D28:Q28"/>
    <mergeCell ref="D2:Q3"/>
    <mergeCell ref="U13:U14"/>
  </mergeCells>
  <hyperlinks>
    <hyperlink ref="D2:Q3" location="'فهرست مطالب'!A1" display="فروش کت و شلوار"/>
  </hyperlinks>
  <pageMargins left="0.70866141732283472" right="0.70866141732283472" top="0.74803149606299213" bottom="0.74803149606299213" header="0.31496062992125984" footer="0.31496062992125984"/>
  <pageSetup paperSize="9" scale="73" orientation="landscape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3:S46"/>
  <sheetViews>
    <sheetView workbookViewId="0">
      <selection activeCell="C18" sqref="C17:C18"/>
    </sheetView>
  </sheetViews>
  <sheetFormatPr defaultColWidth="9" defaultRowHeight="23.25"/>
  <cols>
    <col min="1" max="1" width="18.5703125" style="117" customWidth="1"/>
    <col min="2" max="2" width="17.5703125" style="117" customWidth="1"/>
    <col min="3" max="3" width="42.42578125" style="117" bestFit="1" customWidth="1"/>
    <col min="4" max="4" width="26.42578125" style="117" customWidth="1"/>
    <col min="5" max="5" width="28.28515625" style="117" customWidth="1"/>
    <col min="6" max="6" width="22.140625" style="117" customWidth="1"/>
    <col min="7" max="16" width="27" style="117" bestFit="1" customWidth="1"/>
    <col min="17" max="17" width="48.7109375" style="117" bestFit="1" customWidth="1"/>
    <col min="18" max="18" width="10.140625" style="117" customWidth="1"/>
    <col min="19" max="19" width="29.28515625" style="117" bestFit="1" customWidth="1"/>
    <col min="20" max="16384" width="9" style="117"/>
  </cols>
  <sheetData>
    <row r="3" spans="1:19" ht="28.5">
      <c r="Q3" s="340" t="s">
        <v>464</v>
      </c>
    </row>
    <row r="4" spans="1:19" ht="24" thickBot="1"/>
    <row r="5" spans="1:19" ht="24.75" thickTop="1" thickBot="1">
      <c r="A5" s="719" t="s">
        <v>768</v>
      </c>
      <c r="B5" s="719" t="s">
        <v>767</v>
      </c>
      <c r="C5" s="732" t="s">
        <v>766</v>
      </c>
      <c r="D5" s="732" t="s">
        <v>760</v>
      </c>
      <c r="E5" s="128"/>
      <c r="F5" s="129"/>
      <c r="G5" s="599"/>
      <c r="H5" s="735"/>
      <c r="I5" s="735"/>
      <c r="J5" s="735"/>
      <c r="K5" s="735"/>
      <c r="L5" s="735"/>
      <c r="M5" s="735"/>
      <c r="N5" s="735"/>
      <c r="O5" s="735"/>
      <c r="P5" s="597"/>
      <c r="Q5" s="732" t="s">
        <v>256</v>
      </c>
    </row>
    <row r="6" spans="1:19" ht="24.75" thickTop="1" thickBot="1">
      <c r="A6" s="719"/>
      <c r="B6" s="719"/>
      <c r="C6" s="732"/>
      <c r="D6" s="732"/>
      <c r="E6" s="130"/>
      <c r="F6" s="131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732"/>
    </row>
    <row r="7" spans="1:19" ht="24.75" thickTop="1" thickBot="1">
      <c r="A7" s="719"/>
      <c r="B7" s="719"/>
      <c r="C7" s="732"/>
      <c r="D7" s="732"/>
      <c r="E7" s="133" t="s">
        <v>41</v>
      </c>
      <c r="F7" s="133" t="s">
        <v>10</v>
      </c>
      <c r="G7" s="134" t="s">
        <v>254</v>
      </c>
      <c r="H7" s="135" t="s">
        <v>8</v>
      </c>
      <c r="I7" s="135" t="s">
        <v>40</v>
      </c>
      <c r="J7" s="135" t="s">
        <v>6</v>
      </c>
      <c r="K7" s="135" t="s">
        <v>253</v>
      </c>
      <c r="L7" s="135" t="s">
        <v>4</v>
      </c>
      <c r="M7" s="135" t="s">
        <v>266</v>
      </c>
      <c r="N7" s="135" t="s">
        <v>2</v>
      </c>
      <c r="O7" s="135" t="s">
        <v>251</v>
      </c>
      <c r="P7" s="136" t="s">
        <v>250</v>
      </c>
      <c r="Q7" s="732"/>
    </row>
    <row r="8" spans="1:19" ht="24.75" thickTop="1" thickBot="1">
      <c r="A8" s="720"/>
      <c r="B8" s="721"/>
      <c r="C8" s="722"/>
      <c r="D8" s="137">
        <f>P8</f>
        <v>600</v>
      </c>
      <c r="E8" s="137">
        <f t="shared" ref="E8:N8" si="0">F15</f>
        <v>900</v>
      </c>
      <c r="F8" s="137">
        <f t="shared" si="0"/>
        <v>900</v>
      </c>
      <c r="G8" s="137">
        <f t="shared" si="0"/>
        <v>900</v>
      </c>
      <c r="H8" s="137">
        <f t="shared" si="0"/>
        <v>900</v>
      </c>
      <c r="I8" s="137">
        <f t="shared" si="0"/>
        <v>900</v>
      </c>
      <c r="J8" s="137">
        <f t="shared" si="0"/>
        <v>900</v>
      </c>
      <c r="K8" s="137">
        <f t="shared" si="0"/>
        <v>720</v>
      </c>
      <c r="L8" s="137">
        <f t="shared" si="0"/>
        <v>720</v>
      </c>
      <c r="M8" s="137">
        <f t="shared" si="0"/>
        <v>720</v>
      </c>
      <c r="N8" s="137">
        <f t="shared" si="0"/>
        <v>720</v>
      </c>
      <c r="O8" s="137">
        <f>P15</f>
        <v>720</v>
      </c>
      <c r="P8" s="137">
        <f>'اطاعات تفصیلی سال قبل'!U22</f>
        <v>600</v>
      </c>
      <c r="Q8" s="138" t="s">
        <v>257</v>
      </c>
    </row>
    <row r="9" spans="1:19" ht="24.75" thickTop="1" thickBot="1">
      <c r="A9" s="501">
        <f>B9/C9*100</f>
        <v>4.9166666666666661</v>
      </c>
      <c r="B9" s="501">
        <f>C9-D9</f>
        <v>590</v>
      </c>
      <c r="C9" s="501">
        <f>1000*12</f>
        <v>12000</v>
      </c>
      <c r="D9" s="435">
        <f>SUM(E9:P9)</f>
        <v>11410</v>
      </c>
      <c r="E9" s="435">
        <f t="shared" ref="E9:O9" si="1">IF(E10&lt;E8,0,E10-E8)</f>
        <v>1010</v>
      </c>
      <c r="F9" s="435">
        <f t="shared" si="1"/>
        <v>1010</v>
      </c>
      <c r="G9" s="435">
        <f t="shared" si="1"/>
        <v>1010</v>
      </c>
      <c r="H9" s="435">
        <f t="shared" si="1"/>
        <v>1010</v>
      </c>
      <c r="I9" s="435">
        <f t="shared" si="1"/>
        <v>1010</v>
      </c>
      <c r="J9" s="435">
        <f t="shared" si="1"/>
        <v>1010</v>
      </c>
      <c r="K9" s="435">
        <f t="shared" si="1"/>
        <v>1190</v>
      </c>
      <c r="L9" s="435">
        <f t="shared" si="1"/>
        <v>808</v>
      </c>
      <c r="M9" s="435">
        <f t="shared" si="1"/>
        <v>808</v>
      </c>
      <c r="N9" s="435">
        <f t="shared" si="1"/>
        <v>808</v>
      </c>
      <c r="O9" s="435">
        <f t="shared" si="1"/>
        <v>808</v>
      </c>
      <c r="P9" s="435">
        <f>IF(P10&lt;P8,0,P10-P8)</f>
        <v>928</v>
      </c>
      <c r="Q9" s="434" t="s">
        <v>258</v>
      </c>
    </row>
    <row r="10" spans="1:19" ht="24.75" thickTop="1" thickBot="1">
      <c r="A10" s="723"/>
      <c r="B10" s="724"/>
      <c r="C10" s="725"/>
      <c r="D10" s="139">
        <f t="shared" ref="D10:O10" si="2">D12+D13+D11</f>
        <v>12010</v>
      </c>
      <c r="E10" s="139">
        <f t="shared" si="2"/>
        <v>1910</v>
      </c>
      <c r="F10" s="139">
        <f t="shared" si="2"/>
        <v>1910</v>
      </c>
      <c r="G10" s="139">
        <f t="shared" si="2"/>
        <v>1910</v>
      </c>
      <c r="H10" s="139">
        <f t="shared" si="2"/>
        <v>1910</v>
      </c>
      <c r="I10" s="139">
        <f t="shared" si="2"/>
        <v>1910</v>
      </c>
      <c r="J10" s="139">
        <f t="shared" si="2"/>
        <v>1910</v>
      </c>
      <c r="K10" s="139">
        <f t="shared" si="2"/>
        <v>1910</v>
      </c>
      <c r="L10" s="139">
        <f t="shared" si="2"/>
        <v>1528</v>
      </c>
      <c r="M10" s="139">
        <f t="shared" si="2"/>
        <v>1528</v>
      </c>
      <c r="N10" s="139">
        <f t="shared" si="2"/>
        <v>1528</v>
      </c>
      <c r="O10" s="139">
        <f t="shared" si="2"/>
        <v>1528</v>
      </c>
      <c r="P10" s="139">
        <f>P12+P13+P11</f>
        <v>1528</v>
      </c>
      <c r="Q10" s="140" t="s">
        <v>259</v>
      </c>
    </row>
    <row r="11" spans="1:19" ht="24.75" thickTop="1" thickBot="1">
      <c r="A11" s="726"/>
      <c r="B11" s="727"/>
      <c r="C11" s="728"/>
      <c r="D11" s="139">
        <f>SUM(E11:P11)</f>
        <v>110</v>
      </c>
      <c r="E11" s="139">
        <f t="shared" ref="E11:P11" si="3">E12*$R15%</f>
        <v>10</v>
      </c>
      <c r="F11" s="139">
        <f t="shared" si="3"/>
        <v>10</v>
      </c>
      <c r="G11" s="139">
        <f t="shared" si="3"/>
        <v>10</v>
      </c>
      <c r="H11" s="139">
        <f t="shared" si="3"/>
        <v>10</v>
      </c>
      <c r="I11" s="139">
        <f t="shared" si="3"/>
        <v>10</v>
      </c>
      <c r="J11" s="139">
        <f t="shared" si="3"/>
        <v>10</v>
      </c>
      <c r="K11" s="139">
        <f t="shared" si="3"/>
        <v>10</v>
      </c>
      <c r="L11" s="139">
        <f t="shared" si="3"/>
        <v>8</v>
      </c>
      <c r="M11" s="139">
        <f t="shared" si="3"/>
        <v>8</v>
      </c>
      <c r="N11" s="139">
        <f t="shared" si="3"/>
        <v>8</v>
      </c>
      <c r="O11" s="139">
        <f t="shared" si="3"/>
        <v>8</v>
      </c>
      <c r="P11" s="139">
        <f t="shared" si="3"/>
        <v>8</v>
      </c>
      <c r="Q11" s="140" t="s">
        <v>73</v>
      </c>
    </row>
    <row r="12" spans="1:19" ht="24.75" thickTop="1" thickBot="1">
      <c r="A12" s="726"/>
      <c r="B12" s="727"/>
      <c r="C12" s="728"/>
      <c r="D12" s="137">
        <f>'فروش محصول B'!D7</f>
        <v>11000</v>
      </c>
      <c r="E12" s="137">
        <f>'فروش محصول B'!E7</f>
        <v>1000</v>
      </c>
      <c r="F12" s="137">
        <f>'فروش محصول B'!F7</f>
        <v>1000</v>
      </c>
      <c r="G12" s="137">
        <f>'فروش محصول B'!G7</f>
        <v>1000</v>
      </c>
      <c r="H12" s="137">
        <f>'فروش محصول B'!H7</f>
        <v>1000</v>
      </c>
      <c r="I12" s="137">
        <f>'فروش محصول B'!I7</f>
        <v>1000</v>
      </c>
      <c r="J12" s="137">
        <f>'فروش محصول B'!J7</f>
        <v>1000</v>
      </c>
      <c r="K12" s="137">
        <f>'فروش محصول B'!K7</f>
        <v>1000</v>
      </c>
      <c r="L12" s="137">
        <f>'فروش محصول B'!L7</f>
        <v>800</v>
      </c>
      <c r="M12" s="137">
        <f>'فروش محصول B'!M7</f>
        <v>800</v>
      </c>
      <c r="N12" s="137">
        <f>'فروش محصول B'!N7</f>
        <v>800</v>
      </c>
      <c r="O12" s="137">
        <f>'فروش محصول B'!O7</f>
        <v>800</v>
      </c>
      <c r="P12" s="137">
        <f>'فروش محصول B'!P7</f>
        <v>800</v>
      </c>
      <c r="Q12" s="138" t="s">
        <v>260</v>
      </c>
    </row>
    <row r="13" spans="1:19" ht="24.75" thickTop="1" thickBot="1">
      <c r="A13" s="729"/>
      <c r="B13" s="730"/>
      <c r="C13" s="731"/>
      <c r="D13" s="137">
        <f>E13</f>
        <v>900</v>
      </c>
      <c r="E13" s="137">
        <f t="shared" ref="E13:P13" si="4">E12*$R14%</f>
        <v>900</v>
      </c>
      <c r="F13" s="137">
        <f t="shared" si="4"/>
        <v>900</v>
      </c>
      <c r="G13" s="137">
        <f t="shared" si="4"/>
        <v>900</v>
      </c>
      <c r="H13" s="137">
        <f t="shared" si="4"/>
        <v>900</v>
      </c>
      <c r="I13" s="137">
        <f t="shared" si="4"/>
        <v>900</v>
      </c>
      <c r="J13" s="137">
        <f t="shared" si="4"/>
        <v>900</v>
      </c>
      <c r="K13" s="137">
        <f t="shared" si="4"/>
        <v>900</v>
      </c>
      <c r="L13" s="137">
        <f t="shared" si="4"/>
        <v>720</v>
      </c>
      <c r="M13" s="137">
        <f t="shared" si="4"/>
        <v>720</v>
      </c>
      <c r="N13" s="137">
        <f t="shared" si="4"/>
        <v>720</v>
      </c>
      <c r="O13" s="137">
        <f t="shared" si="4"/>
        <v>720</v>
      </c>
      <c r="P13" s="137">
        <f t="shared" si="4"/>
        <v>720</v>
      </c>
      <c r="Q13" s="138" t="s">
        <v>712</v>
      </c>
    </row>
    <row r="14" spans="1:19" ht="24.75" thickTop="1" thickBot="1">
      <c r="E14" s="453">
        <f t="shared" ref="E14:O14" si="5">IF(E10&lt;E8,E8-E10,0)</f>
        <v>0</v>
      </c>
      <c r="F14" s="453">
        <f t="shared" si="5"/>
        <v>0</v>
      </c>
      <c r="G14" s="453">
        <f t="shared" si="5"/>
        <v>0</v>
      </c>
      <c r="H14" s="453">
        <f t="shared" si="5"/>
        <v>0</v>
      </c>
      <c r="I14" s="453">
        <f t="shared" si="5"/>
        <v>0</v>
      </c>
      <c r="J14" s="453">
        <f t="shared" si="5"/>
        <v>0</v>
      </c>
      <c r="K14" s="453">
        <f t="shared" si="5"/>
        <v>0</v>
      </c>
      <c r="L14" s="453">
        <f t="shared" si="5"/>
        <v>0</v>
      </c>
      <c r="M14" s="453">
        <f t="shared" si="5"/>
        <v>0</v>
      </c>
      <c r="N14" s="453">
        <f t="shared" si="5"/>
        <v>0</v>
      </c>
      <c r="O14" s="453">
        <f t="shared" si="5"/>
        <v>0</v>
      </c>
      <c r="P14" s="453">
        <f>IF(P10&lt;P8,P8-P10,0)</f>
        <v>0</v>
      </c>
      <c r="Q14" s="138" t="s">
        <v>710</v>
      </c>
      <c r="R14" s="250">
        <v>90</v>
      </c>
      <c r="S14" s="250" t="s">
        <v>326</v>
      </c>
    </row>
    <row r="15" spans="1:19" ht="24.75" thickTop="1" thickBot="1">
      <c r="E15" s="453">
        <f t="shared" ref="E15:O15" si="6">E13+E14</f>
        <v>900</v>
      </c>
      <c r="F15" s="453">
        <f t="shared" si="6"/>
        <v>900</v>
      </c>
      <c r="G15" s="453">
        <f t="shared" si="6"/>
        <v>900</v>
      </c>
      <c r="H15" s="453">
        <f t="shared" si="6"/>
        <v>900</v>
      </c>
      <c r="I15" s="453">
        <f t="shared" si="6"/>
        <v>900</v>
      </c>
      <c r="J15" s="453">
        <f t="shared" si="6"/>
        <v>900</v>
      </c>
      <c r="K15" s="453">
        <f t="shared" si="6"/>
        <v>900</v>
      </c>
      <c r="L15" s="453">
        <f t="shared" si="6"/>
        <v>720</v>
      </c>
      <c r="M15" s="453">
        <f t="shared" si="6"/>
        <v>720</v>
      </c>
      <c r="N15" s="453">
        <f t="shared" si="6"/>
        <v>720</v>
      </c>
      <c r="O15" s="453">
        <f t="shared" si="6"/>
        <v>720</v>
      </c>
      <c r="P15" s="453">
        <f>P13+P14</f>
        <v>720</v>
      </c>
      <c r="Q15" s="138" t="s">
        <v>711</v>
      </c>
      <c r="R15" s="250">
        <v>1</v>
      </c>
      <c r="S15" s="250" t="s">
        <v>457</v>
      </c>
    </row>
    <row r="16" spans="1:19" ht="24" thickTop="1"/>
    <row r="17" spans="3:17">
      <c r="Q17" s="142" t="s">
        <v>261</v>
      </c>
    </row>
    <row r="20" spans="3:17" ht="24" thickBot="1">
      <c r="Q20" s="143" t="s">
        <v>263</v>
      </c>
    </row>
    <row r="21" spans="3:17" ht="24.75" thickTop="1" thickBot="1">
      <c r="C21" s="733" t="s">
        <v>319</v>
      </c>
      <c r="D21" s="250" t="s">
        <v>12</v>
      </c>
      <c r="E21" s="136" t="s">
        <v>41</v>
      </c>
      <c r="F21" s="136" t="s">
        <v>10</v>
      </c>
      <c r="G21" s="136" t="s">
        <v>254</v>
      </c>
      <c r="H21" s="136" t="s">
        <v>8</v>
      </c>
      <c r="I21" s="136" t="s">
        <v>40</v>
      </c>
      <c r="J21" s="136" t="s">
        <v>6</v>
      </c>
      <c r="K21" s="136" t="s">
        <v>253</v>
      </c>
      <c r="L21" s="136" t="s">
        <v>4</v>
      </c>
      <c r="M21" s="136" t="s">
        <v>266</v>
      </c>
      <c r="N21" s="136" t="s">
        <v>2</v>
      </c>
      <c r="O21" s="136" t="s">
        <v>251</v>
      </c>
      <c r="P21" s="136" t="s">
        <v>250</v>
      </c>
      <c r="Q21" s="733" t="s">
        <v>262</v>
      </c>
    </row>
    <row r="22" spans="3:17" ht="24.75" thickTop="1" thickBot="1">
      <c r="C22" s="734"/>
      <c r="D22" s="436">
        <f>SUM(E22:P22)</f>
        <v>11438400000</v>
      </c>
      <c r="E22" s="436">
        <f t="shared" ref="E22:O22" si="7">E41</f>
        <v>969600000</v>
      </c>
      <c r="F22" s="436">
        <f t="shared" si="7"/>
        <v>969600000</v>
      </c>
      <c r="G22" s="436">
        <f t="shared" si="7"/>
        <v>969600000</v>
      </c>
      <c r="H22" s="436">
        <f t="shared" si="7"/>
        <v>969600000</v>
      </c>
      <c r="I22" s="436">
        <f t="shared" si="7"/>
        <v>969600000</v>
      </c>
      <c r="J22" s="436">
        <f t="shared" si="7"/>
        <v>883200000</v>
      </c>
      <c r="K22" s="436">
        <f t="shared" si="7"/>
        <v>1325760000</v>
      </c>
      <c r="L22" s="436">
        <f t="shared" si="7"/>
        <v>775680000</v>
      </c>
      <c r="M22" s="436">
        <f t="shared" si="7"/>
        <v>775680000</v>
      </c>
      <c r="N22" s="436">
        <f t="shared" si="7"/>
        <v>775680000</v>
      </c>
      <c r="O22" s="436">
        <f t="shared" si="7"/>
        <v>718080000</v>
      </c>
      <c r="P22" s="436">
        <f>P41</f>
        <v>1336320000</v>
      </c>
      <c r="Q22" s="734"/>
    </row>
    <row r="23" spans="3:17" s="148" customFormat="1" ht="24.75" thickTop="1" thickBot="1">
      <c r="C23" s="145"/>
      <c r="D23" s="146"/>
      <c r="E23" s="146"/>
      <c r="F23" s="146"/>
      <c r="G23" s="146"/>
      <c r="H23" s="146"/>
      <c r="I23" s="146"/>
      <c r="J23" s="146"/>
      <c r="K23" s="146"/>
      <c r="L23" s="146"/>
      <c r="M23" s="146"/>
      <c r="N23" s="146"/>
      <c r="O23" s="146"/>
      <c r="P23" s="146"/>
      <c r="Q23" s="147"/>
    </row>
    <row r="24" spans="3:17" ht="24.75" thickTop="1" thickBot="1">
      <c r="C24" s="593"/>
      <c r="D24" s="149">
        <f>SUM(E24:P24)</f>
        <v>1336320000</v>
      </c>
      <c r="E24" s="150"/>
      <c r="F24" s="150"/>
      <c r="G24" s="150"/>
      <c r="H24" s="150"/>
      <c r="I24" s="150"/>
      <c r="J24" s="150"/>
      <c r="K24" s="150"/>
      <c r="L24" s="150"/>
      <c r="M24" s="150"/>
      <c r="N24" s="150"/>
      <c r="O24" s="150">
        <f>P$22*50%</f>
        <v>668160000</v>
      </c>
      <c r="P24" s="150">
        <f>P$22*50%</f>
        <v>668160000</v>
      </c>
      <c r="Q24" s="250" t="s">
        <v>267</v>
      </c>
    </row>
    <row r="25" spans="3:17" ht="24.75" thickTop="1" thickBot="1">
      <c r="C25" s="593"/>
      <c r="D25" s="149">
        <f t="shared" ref="D25:D35" si="8">SUM(E25:P25)</f>
        <v>718080000</v>
      </c>
      <c r="E25" s="150"/>
      <c r="F25" s="150"/>
      <c r="G25" s="150"/>
      <c r="H25" s="150"/>
      <c r="I25" s="150"/>
      <c r="J25" s="150"/>
      <c r="K25" s="150"/>
      <c r="L25" s="150"/>
      <c r="M25" s="150"/>
      <c r="N25" s="150">
        <f>O$22*50%</f>
        <v>359040000</v>
      </c>
      <c r="O25" s="150">
        <f>O$22*50%</f>
        <v>359040000</v>
      </c>
      <c r="P25" s="150"/>
      <c r="Q25" s="250" t="s">
        <v>268</v>
      </c>
    </row>
    <row r="26" spans="3:17" ht="24.75" thickTop="1" thickBot="1">
      <c r="C26" s="593"/>
      <c r="D26" s="149">
        <f t="shared" si="8"/>
        <v>775680000</v>
      </c>
      <c r="E26" s="150"/>
      <c r="F26" s="150"/>
      <c r="G26" s="150"/>
      <c r="H26" s="150"/>
      <c r="I26" s="150"/>
      <c r="J26" s="150"/>
      <c r="K26" s="150"/>
      <c r="L26" s="150"/>
      <c r="M26" s="150">
        <f>N$22*50%</f>
        <v>387840000</v>
      </c>
      <c r="N26" s="150">
        <f>N$22*50%</f>
        <v>387840000</v>
      </c>
      <c r="O26" s="150"/>
      <c r="P26" s="150"/>
      <c r="Q26" s="250" t="s">
        <v>269</v>
      </c>
    </row>
    <row r="27" spans="3:17" ht="24.75" thickTop="1" thickBot="1">
      <c r="C27" s="593"/>
      <c r="D27" s="149">
        <f t="shared" si="8"/>
        <v>775680000</v>
      </c>
      <c r="E27" s="150"/>
      <c r="F27" s="150"/>
      <c r="G27" s="150"/>
      <c r="H27" s="150"/>
      <c r="I27" s="150"/>
      <c r="J27" s="150"/>
      <c r="K27" s="150"/>
      <c r="L27" s="150">
        <f>M$22*50%</f>
        <v>387840000</v>
      </c>
      <c r="M27" s="150">
        <f>M$22*50%</f>
        <v>387840000</v>
      </c>
      <c r="N27" s="150"/>
      <c r="O27" s="150"/>
      <c r="P27" s="150"/>
      <c r="Q27" s="250" t="s">
        <v>270</v>
      </c>
    </row>
    <row r="28" spans="3:17" ht="24.75" thickTop="1" thickBot="1">
      <c r="C28" s="593"/>
      <c r="D28" s="149">
        <f t="shared" si="8"/>
        <v>775680000</v>
      </c>
      <c r="E28" s="150"/>
      <c r="F28" s="150"/>
      <c r="G28" s="150"/>
      <c r="H28" s="150"/>
      <c r="I28" s="150"/>
      <c r="J28" s="150"/>
      <c r="K28" s="150">
        <f>L$22*50%</f>
        <v>387840000</v>
      </c>
      <c r="L28" s="150">
        <f>L$22*50%</f>
        <v>387840000</v>
      </c>
      <c r="M28" s="150"/>
      <c r="N28" s="150"/>
      <c r="O28" s="150"/>
      <c r="P28" s="150"/>
      <c r="Q28" s="250" t="s">
        <v>271</v>
      </c>
    </row>
    <row r="29" spans="3:17" ht="24.75" thickTop="1" thickBot="1">
      <c r="C29" s="593"/>
      <c r="D29" s="149">
        <f t="shared" si="8"/>
        <v>1325760000</v>
      </c>
      <c r="E29" s="150"/>
      <c r="F29" s="150"/>
      <c r="G29" s="150"/>
      <c r="H29" s="150"/>
      <c r="I29" s="150"/>
      <c r="J29" s="150">
        <f>K$22*50%</f>
        <v>662880000</v>
      </c>
      <c r="K29" s="150">
        <f>K$22*50%</f>
        <v>662880000</v>
      </c>
      <c r="L29" s="150"/>
      <c r="M29" s="150"/>
      <c r="N29" s="150"/>
      <c r="O29" s="150"/>
      <c r="P29" s="150"/>
      <c r="Q29" s="250" t="s">
        <v>272</v>
      </c>
    </row>
    <row r="30" spans="3:17" ht="24.75" thickTop="1" thickBot="1">
      <c r="C30" s="593"/>
      <c r="D30" s="149">
        <f t="shared" si="8"/>
        <v>883200000</v>
      </c>
      <c r="E30" s="150"/>
      <c r="F30" s="150"/>
      <c r="G30" s="150"/>
      <c r="H30" s="150"/>
      <c r="I30" s="150">
        <f>J$22*50%</f>
        <v>441600000</v>
      </c>
      <c r="J30" s="150">
        <f>J$22*50%</f>
        <v>441600000</v>
      </c>
      <c r="K30" s="150"/>
      <c r="L30" s="150"/>
      <c r="M30" s="150"/>
      <c r="N30" s="150"/>
      <c r="O30" s="150"/>
      <c r="P30" s="150"/>
      <c r="Q30" s="250" t="s">
        <v>273</v>
      </c>
    </row>
    <row r="31" spans="3:17" ht="24.75" thickTop="1" thickBot="1">
      <c r="C31" s="593"/>
      <c r="D31" s="149">
        <f t="shared" si="8"/>
        <v>969600000</v>
      </c>
      <c r="E31" s="150"/>
      <c r="F31" s="150"/>
      <c r="G31" s="150"/>
      <c r="H31" s="150">
        <f>I$22*50%</f>
        <v>484800000</v>
      </c>
      <c r="I31" s="150">
        <f>I$22*50%</f>
        <v>484800000</v>
      </c>
      <c r="J31" s="150"/>
      <c r="K31" s="150"/>
      <c r="L31" s="150"/>
      <c r="M31" s="150"/>
      <c r="N31" s="150"/>
      <c r="O31" s="150"/>
      <c r="P31" s="150"/>
      <c r="Q31" s="250" t="s">
        <v>274</v>
      </c>
    </row>
    <row r="32" spans="3:17" ht="24.75" thickTop="1" thickBot="1">
      <c r="C32" s="593"/>
      <c r="D32" s="149">
        <f t="shared" si="8"/>
        <v>969600000</v>
      </c>
      <c r="E32" s="150"/>
      <c r="F32" s="150"/>
      <c r="G32" s="150">
        <f>H$22*50%</f>
        <v>484800000</v>
      </c>
      <c r="H32" s="150">
        <f>H$22*50%</f>
        <v>484800000</v>
      </c>
      <c r="I32" s="150"/>
      <c r="J32" s="150"/>
      <c r="K32" s="150"/>
      <c r="L32" s="150"/>
      <c r="M32" s="150"/>
      <c r="N32" s="150"/>
      <c r="O32" s="150"/>
      <c r="P32" s="150"/>
      <c r="Q32" s="250" t="s">
        <v>275</v>
      </c>
    </row>
    <row r="33" spans="3:19" ht="24.75" thickTop="1" thickBot="1">
      <c r="C33" s="593"/>
      <c r="D33" s="149">
        <f t="shared" si="8"/>
        <v>969600000</v>
      </c>
      <c r="E33" s="150"/>
      <c r="F33" s="150">
        <f>G$22*50%</f>
        <v>484800000</v>
      </c>
      <c r="G33" s="150">
        <f>G$22*50%</f>
        <v>484800000</v>
      </c>
      <c r="H33" s="150"/>
      <c r="I33" s="150"/>
      <c r="J33" s="150"/>
      <c r="K33" s="150"/>
      <c r="L33" s="150"/>
      <c r="M33" s="150"/>
      <c r="N33" s="150"/>
      <c r="O33" s="150"/>
      <c r="P33" s="150"/>
      <c r="Q33" s="250" t="s">
        <v>276</v>
      </c>
    </row>
    <row r="34" spans="3:19" ht="24.75" thickTop="1" thickBot="1">
      <c r="C34" s="593"/>
      <c r="D34" s="149">
        <f t="shared" si="8"/>
        <v>969600000</v>
      </c>
      <c r="E34" s="150">
        <f>F$22*50%</f>
        <v>484800000</v>
      </c>
      <c r="F34" s="150">
        <f>F$22*50%</f>
        <v>484800000</v>
      </c>
      <c r="G34" s="150"/>
      <c r="H34" s="150"/>
      <c r="I34" s="150"/>
      <c r="J34" s="150"/>
      <c r="K34" s="150"/>
      <c r="L34" s="150"/>
      <c r="M34" s="150"/>
      <c r="N34" s="150"/>
      <c r="O34" s="150"/>
      <c r="P34" s="150"/>
      <c r="Q34" s="250" t="s">
        <v>277</v>
      </c>
    </row>
    <row r="35" spans="3:19" ht="24.75" thickTop="1" thickBot="1">
      <c r="C35" s="593">
        <f>E22*50%</f>
        <v>484800000</v>
      </c>
      <c r="D35" s="149">
        <f t="shared" si="8"/>
        <v>484800000</v>
      </c>
      <c r="E35" s="150">
        <f>E22*50%</f>
        <v>484800000</v>
      </c>
      <c r="F35" s="150"/>
      <c r="G35" s="150"/>
      <c r="H35" s="150"/>
      <c r="I35" s="150"/>
      <c r="J35" s="150"/>
      <c r="K35" s="150"/>
      <c r="L35" s="150"/>
      <c r="M35" s="150"/>
      <c r="N35" s="150"/>
      <c r="O35" s="150"/>
      <c r="P35" s="150"/>
      <c r="Q35" s="250" t="s">
        <v>278</v>
      </c>
    </row>
    <row r="36" spans="3:19" ht="48" thickTop="1" thickBot="1">
      <c r="C36" s="151">
        <f t="shared" ref="C36:O36" si="9">SUM(C24:C35)</f>
        <v>484800000</v>
      </c>
      <c r="D36" s="151">
        <f t="shared" si="9"/>
        <v>10953600000</v>
      </c>
      <c r="E36" s="151">
        <f t="shared" si="9"/>
        <v>969600000</v>
      </c>
      <c r="F36" s="151">
        <f t="shared" si="9"/>
        <v>969600000</v>
      </c>
      <c r="G36" s="151">
        <f t="shared" si="9"/>
        <v>969600000</v>
      </c>
      <c r="H36" s="151">
        <f t="shared" si="9"/>
        <v>969600000</v>
      </c>
      <c r="I36" s="151">
        <f t="shared" si="9"/>
        <v>926400000</v>
      </c>
      <c r="J36" s="151">
        <f t="shared" si="9"/>
        <v>1104480000</v>
      </c>
      <c r="K36" s="151">
        <f t="shared" si="9"/>
        <v>1050720000</v>
      </c>
      <c r="L36" s="151">
        <f t="shared" si="9"/>
        <v>775680000</v>
      </c>
      <c r="M36" s="151">
        <f t="shared" si="9"/>
        <v>775680000</v>
      </c>
      <c r="N36" s="151">
        <f t="shared" si="9"/>
        <v>746880000</v>
      </c>
      <c r="O36" s="151">
        <f t="shared" si="9"/>
        <v>1027200000</v>
      </c>
      <c r="P36" s="151">
        <f>SUM(P24:P35)</f>
        <v>668160000</v>
      </c>
      <c r="Q36" s="152" t="s">
        <v>264</v>
      </c>
    </row>
    <row r="37" spans="3:19" ht="24" thickTop="1"/>
    <row r="38" spans="3:19" ht="24" thickBot="1">
      <c r="Q38" s="153" t="s">
        <v>265</v>
      </c>
    </row>
    <row r="39" spans="3:19" ht="24.75" thickTop="1" thickBot="1">
      <c r="D39" s="154" t="s">
        <v>12</v>
      </c>
      <c r="E39" s="155" t="s">
        <v>41</v>
      </c>
      <c r="F39" s="156" t="s">
        <v>10</v>
      </c>
      <c r="G39" s="156" t="s">
        <v>254</v>
      </c>
      <c r="H39" s="156" t="s">
        <v>8</v>
      </c>
      <c r="I39" s="156" t="s">
        <v>40</v>
      </c>
      <c r="J39" s="156" t="s">
        <v>6</v>
      </c>
      <c r="K39" s="156" t="s">
        <v>253</v>
      </c>
      <c r="L39" s="156" t="s">
        <v>4</v>
      </c>
      <c r="M39" s="156" t="s">
        <v>266</v>
      </c>
      <c r="N39" s="156" t="s">
        <v>2</v>
      </c>
      <c r="O39" s="156" t="s">
        <v>251</v>
      </c>
      <c r="P39" s="156" t="s">
        <v>250</v>
      </c>
      <c r="Q39" s="250" t="s">
        <v>256</v>
      </c>
    </row>
    <row r="40" spans="3:19" ht="24.75" thickTop="1" thickBot="1">
      <c r="C40" s="158" t="s">
        <v>761</v>
      </c>
      <c r="D40" s="157">
        <f>P40</f>
        <v>0</v>
      </c>
      <c r="E40" s="115">
        <f t="shared" ref="E40:N40" si="10">F46</f>
        <v>484800000</v>
      </c>
      <c r="F40" s="115">
        <f t="shared" si="10"/>
        <v>484800000</v>
      </c>
      <c r="G40" s="115">
        <f t="shared" si="10"/>
        <v>484800000</v>
      </c>
      <c r="H40" s="115">
        <f t="shared" si="10"/>
        <v>484800000</v>
      </c>
      <c r="I40" s="115">
        <f t="shared" si="10"/>
        <v>484800000</v>
      </c>
      <c r="J40" s="115">
        <f t="shared" si="10"/>
        <v>571200000</v>
      </c>
      <c r="K40" s="115">
        <f t="shared" si="10"/>
        <v>387840000</v>
      </c>
      <c r="L40" s="115">
        <f t="shared" si="10"/>
        <v>387840000</v>
      </c>
      <c r="M40" s="115">
        <f t="shared" si="10"/>
        <v>387840000</v>
      </c>
      <c r="N40" s="115">
        <f t="shared" si="10"/>
        <v>387840000</v>
      </c>
      <c r="O40" s="115">
        <f>P46</f>
        <v>445440000</v>
      </c>
      <c r="P40" s="115">
        <v>0</v>
      </c>
      <c r="Q40" s="158" t="s">
        <v>440</v>
      </c>
    </row>
    <row r="41" spans="3:19" ht="24" thickBot="1">
      <c r="C41" s="163" t="s">
        <v>762</v>
      </c>
      <c r="D41" s="160">
        <f>SUM(E41:P41)</f>
        <v>11438400000</v>
      </c>
      <c r="E41" s="160">
        <f t="shared" ref="E41:O41" si="11">IF(E42&lt;E40,0,E42-E40)</f>
        <v>969600000</v>
      </c>
      <c r="F41" s="160">
        <f t="shared" si="11"/>
        <v>969600000</v>
      </c>
      <c r="G41" s="160">
        <f t="shared" si="11"/>
        <v>969600000</v>
      </c>
      <c r="H41" s="160">
        <f t="shared" si="11"/>
        <v>969600000</v>
      </c>
      <c r="I41" s="160">
        <f t="shared" si="11"/>
        <v>969600000</v>
      </c>
      <c r="J41" s="160">
        <f t="shared" si="11"/>
        <v>883200000</v>
      </c>
      <c r="K41" s="160">
        <f t="shared" si="11"/>
        <v>1325760000</v>
      </c>
      <c r="L41" s="160">
        <f t="shared" si="11"/>
        <v>775680000</v>
      </c>
      <c r="M41" s="160">
        <f t="shared" si="11"/>
        <v>775680000</v>
      </c>
      <c r="N41" s="160">
        <f t="shared" si="11"/>
        <v>775680000</v>
      </c>
      <c r="O41" s="160">
        <f t="shared" si="11"/>
        <v>718080000</v>
      </c>
      <c r="P41" s="160">
        <f>IF(P42&lt;P40,0,P42-P40)</f>
        <v>1336320000</v>
      </c>
      <c r="Q41" s="159" t="s">
        <v>441</v>
      </c>
    </row>
    <row r="42" spans="3:19" ht="24" thickBot="1">
      <c r="C42" s="165" t="s">
        <v>328</v>
      </c>
      <c r="D42" s="164">
        <f t="shared" ref="D42:P42" si="12">D43+D44</f>
        <v>11438400000</v>
      </c>
      <c r="E42" s="164">
        <f t="shared" si="12"/>
        <v>1454400000</v>
      </c>
      <c r="F42" s="164">
        <f t="shared" si="12"/>
        <v>1454400000</v>
      </c>
      <c r="G42" s="164">
        <f t="shared" si="12"/>
        <v>1454400000</v>
      </c>
      <c r="H42" s="164">
        <f t="shared" si="12"/>
        <v>1454400000</v>
      </c>
      <c r="I42" s="164">
        <f t="shared" si="12"/>
        <v>1454400000</v>
      </c>
      <c r="J42" s="164">
        <f t="shared" si="12"/>
        <v>1454400000</v>
      </c>
      <c r="K42" s="164">
        <f t="shared" si="12"/>
        <v>1713600000</v>
      </c>
      <c r="L42" s="164">
        <f t="shared" si="12"/>
        <v>1163520000</v>
      </c>
      <c r="M42" s="164">
        <f t="shared" si="12"/>
        <v>1163520000</v>
      </c>
      <c r="N42" s="164">
        <f t="shared" si="12"/>
        <v>1163520000</v>
      </c>
      <c r="O42" s="164">
        <f t="shared" si="12"/>
        <v>1163520000</v>
      </c>
      <c r="P42" s="164">
        <f t="shared" si="12"/>
        <v>1336320000</v>
      </c>
      <c r="Q42" s="165" t="s">
        <v>442</v>
      </c>
    </row>
    <row r="43" spans="3:19" ht="24" thickBot="1">
      <c r="C43" s="161" t="s">
        <v>329</v>
      </c>
      <c r="D43" s="160">
        <f>D9*bom!$M18</f>
        <v>10953600000</v>
      </c>
      <c r="E43" s="160">
        <f>E9*bom!$M18</f>
        <v>969600000</v>
      </c>
      <c r="F43" s="160">
        <f>F9*bom!$M18</f>
        <v>969600000</v>
      </c>
      <c r="G43" s="160">
        <f>G9*bom!$M18</f>
        <v>969600000</v>
      </c>
      <c r="H43" s="160">
        <f>H9*bom!$M18</f>
        <v>969600000</v>
      </c>
      <c r="I43" s="160">
        <f>I9*bom!$M18</f>
        <v>969600000</v>
      </c>
      <c r="J43" s="160">
        <f>J9*bom!$M18</f>
        <v>969600000</v>
      </c>
      <c r="K43" s="160">
        <f>K9*bom!$M18</f>
        <v>1142400000</v>
      </c>
      <c r="L43" s="160">
        <f>L9*bom!$M18</f>
        <v>775680000</v>
      </c>
      <c r="M43" s="160">
        <f>M9*bom!$M18</f>
        <v>775680000</v>
      </c>
      <c r="N43" s="160">
        <f>N9*bom!$M18</f>
        <v>775680000</v>
      </c>
      <c r="O43" s="160">
        <f>O9*bom!$M18</f>
        <v>775680000</v>
      </c>
      <c r="P43" s="160">
        <f>P9*bom!$M18</f>
        <v>890880000</v>
      </c>
      <c r="Q43" s="161" t="s">
        <v>443</v>
      </c>
    </row>
    <row r="44" spans="3:19" ht="24.75" thickTop="1" thickBot="1">
      <c r="C44" s="162" t="s">
        <v>763</v>
      </c>
      <c r="D44" s="543">
        <f>E46</f>
        <v>484800000</v>
      </c>
      <c r="E44" s="253">
        <f t="shared" ref="E44:P44" si="13">E43*$R46%</f>
        <v>484800000</v>
      </c>
      <c r="F44" s="253">
        <f t="shared" si="13"/>
        <v>484800000</v>
      </c>
      <c r="G44" s="253">
        <f t="shared" si="13"/>
        <v>484800000</v>
      </c>
      <c r="H44" s="253">
        <f t="shared" si="13"/>
        <v>484800000</v>
      </c>
      <c r="I44" s="253">
        <f t="shared" si="13"/>
        <v>484800000</v>
      </c>
      <c r="J44" s="253">
        <f t="shared" si="13"/>
        <v>484800000</v>
      </c>
      <c r="K44" s="253">
        <f t="shared" si="13"/>
        <v>571200000</v>
      </c>
      <c r="L44" s="253">
        <f t="shared" si="13"/>
        <v>387840000</v>
      </c>
      <c r="M44" s="253">
        <f t="shared" si="13"/>
        <v>387840000</v>
      </c>
      <c r="N44" s="253">
        <f t="shared" si="13"/>
        <v>387840000</v>
      </c>
      <c r="O44" s="253">
        <f t="shared" si="13"/>
        <v>387840000</v>
      </c>
      <c r="P44" s="253">
        <f t="shared" si="13"/>
        <v>445440000</v>
      </c>
      <c r="Q44" s="254" t="s">
        <v>444</v>
      </c>
    </row>
    <row r="45" spans="3:19" ht="24" thickBot="1">
      <c r="D45" s="255"/>
      <c r="E45" s="251">
        <f t="shared" ref="E45:O45" si="14">IF(E42&lt;E40,E40-E42,0)</f>
        <v>0</v>
      </c>
      <c r="F45" s="251">
        <f t="shared" si="14"/>
        <v>0</v>
      </c>
      <c r="G45" s="251">
        <f t="shared" si="14"/>
        <v>0</v>
      </c>
      <c r="H45" s="251">
        <f t="shared" si="14"/>
        <v>0</v>
      </c>
      <c r="I45" s="251">
        <f t="shared" si="14"/>
        <v>0</v>
      </c>
      <c r="J45" s="251">
        <f t="shared" si="14"/>
        <v>0</v>
      </c>
      <c r="K45" s="251">
        <f t="shared" si="14"/>
        <v>0</v>
      </c>
      <c r="L45" s="251">
        <f t="shared" si="14"/>
        <v>0</v>
      </c>
      <c r="M45" s="251">
        <f t="shared" si="14"/>
        <v>0</v>
      </c>
      <c r="N45" s="251">
        <f t="shared" si="14"/>
        <v>0</v>
      </c>
      <c r="O45" s="251">
        <f t="shared" si="14"/>
        <v>0</v>
      </c>
      <c r="P45" s="251">
        <f>IF(P42&lt;P40,P40-P42,0)</f>
        <v>0</v>
      </c>
      <c r="Q45" s="251" t="str">
        <f>IF(P45&gt;0,"مازاد کالا","عادی")</f>
        <v>عادی</v>
      </c>
    </row>
    <row r="46" spans="3:19" ht="24" thickBot="1">
      <c r="D46" s="255"/>
      <c r="E46" s="251">
        <f t="shared" ref="E46:O46" si="15">E44+E45</f>
        <v>484800000</v>
      </c>
      <c r="F46" s="251">
        <f t="shared" si="15"/>
        <v>484800000</v>
      </c>
      <c r="G46" s="251">
        <f t="shared" si="15"/>
        <v>484800000</v>
      </c>
      <c r="H46" s="251">
        <f t="shared" si="15"/>
        <v>484800000</v>
      </c>
      <c r="I46" s="251">
        <f t="shared" si="15"/>
        <v>484800000</v>
      </c>
      <c r="J46" s="251">
        <f t="shared" si="15"/>
        <v>484800000</v>
      </c>
      <c r="K46" s="251">
        <f t="shared" si="15"/>
        <v>571200000</v>
      </c>
      <c r="L46" s="251">
        <f t="shared" si="15"/>
        <v>387840000</v>
      </c>
      <c r="M46" s="251">
        <f t="shared" si="15"/>
        <v>387840000</v>
      </c>
      <c r="N46" s="251">
        <f t="shared" si="15"/>
        <v>387840000</v>
      </c>
      <c r="O46" s="251">
        <f t="shared" si="15"/>
        <v>387840000</v>
      </c>
      <c r="P46" s="251">
        <f>P44+P45</f>
        <v>445440000</v>
      </c>
      <c r="Q46" s="251" t="s">
        <v>463</v>
      </c>
      <c r="R46" s="251">
        <v>50</v>
      </c>
      <c r="S46" s="251" t="s">
        <v>327</v>
      </c>
    </row>
  </sheetData>
  <mergeCells count="10">
    <mergeCell ref="D5:D7"/>
    <mergeCell ref="G5:P5"/>
    <mergeCell ref="Q5:Q7"/>
    <mergeCell ref="C21:C22"/>
    <mergeCell ref="Q21:Q22"/>
    <mergeCell ref="A5:A7"/>
    <mergeCell ref="B5:B7"/>
    <mergeCell ref="C5:C7"/>
    <mergeCell ref="A8:C8"/>
    <mergeCell ref="A10:C13"/>
  </mergeCells>
  <hyperlinks>
    <hyperlink ref="Q3" r:id="rId1" location="'فهرست مطالب'!A1"/>
  </hyperlinks>
  <pageMargins left="0.7" right="0.7" top="0.75" bottom="0.75" header="0.3" footer="0.3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>
  <dimension ref="A3:S46"/>
  <sheetViews>
    <sheetView topLeftCell="A2" workbookViewId="0">
      <selection activeCell="C18" sqref="C18"/>
    </sheetView>
  </sheetViews>
  <sheetFormatPr defaultColWidth="9" defaultRowHeight="23.25"/>
  <cols>
    <col min="1" max="1" width="19.140625" style="117" customWidth="1"/>
    <col min="2" max="2" width="20.5703125" style="117" customWidth="1"/>
    <col min="3" max="3" width="21.42578125" style="117" customWidth="1"/>
    <col min="4" max="4" width="26.42578125" style="117" customWidth="1"/>
    <col min="5" max="5" width="28.28515625" style="117" customWidth="1"/>
    <col min="6" max="6" width="22.140625" style="117" customWidth="1"/>
    <col min="7" max="16" width="27" style="117" bestFit="1" customWidth="1"/>
    <col min="17" max="17" width="48.7109375" style="117" bestFit="1" customWidth="1"/>
    <col min="18" max="18" width="10.140625" style="117" customWidth="1"/>
    <col min="19" max="19" width="29.28515625" style="117" bestFit="1" customWidth="1"/>
    <col min="20" max="16384" width="9" style="117"/>
  </cols>
  <sheetData>
    <row r="3" spans="1:19" ht="28.5">
      <c r="Q3" s="340" t="s">
        <v>824</v>
      </c>
    </row>
    <row r="4" spans="1:19" ht="24" thickBot="1"/>
    <row r="5" spans="1:19" ht="24.75" thickTop="1" thickBot="1">
      <c r="A5" s="719" t="s">
        <v>768</v>
      </c>
      <c r="B5" s="719" t="s">
        <v>767</v>
      </c>
      <c r="C5" s="732" t="s">
        <v>766</v>
      </c>
      <c r="D5" s="732" t="s">
        <v>760</v>
      </c>
      <c r="E5" s="128"/>
      <c r="F5" s="129"/>
      <c r="G5" s="599"/>
      <c r="H5" s="735"/>
      <c r="I5" s="735"/>
      <c r="J5" s="735"/>
      <c r="K5" s="735"/>
      <c r="L5" s="735"/>
      <c r="M5" s="735"/>
      <c r="N5" s="735"/>
      <c r="O5" s="735"/>
      <c r="P5" s="597"/>
      <c r="Q5" s="732" t="s">
        <v>256</v>
      </c>
    </row>
    <row r="6" spans="1:19" ht="24.75" thickTop="1" thickBot="1">
      <c r="A6" s="719"/>
      <c r="B6" s="719"/>
      <c r="C6" s="732"/>
      <c r="D6" s="732"/>
      <c r="E6" s="130"/>
      <c r="F6" s="131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732"/>
    </row>
    <row r="7" spans="1:19" ht="24.75" thickTop="1" thickBot="1">
      <c r="A7" s="719"/>
      <c r="B7" s="719"/>
      <c r="C7" s="732"/>
      <c r="D7" s="732"/>
      <c r="E7" s="133" t="s">
        <v>41</v>
      </c>
      <c r="F7" s="133" t="s">
        <v>10</v>
      </c>
      <c r="G7" s="134" t="s">
        <v>254</v>
      </c>
      <c r="H7" s="135" t="s">
        <v>8</v>
      </c>
      <c r="I7" s="135" t="s">
        <v>40</v>
      </c>
      <c r="J7" s="135" t="s">
        <v>6</v>
      </c>
      <c r="K7" s="135" t="s">
        <v>253</v>
      </c>
      <c r="L7" s="135" t="s">
        <v>4</v>
      </c>
      <c r="M7" s="135" t="s">
        <v>266</v>
      </c>
      <c r="N7" s="135" t="s">
        <v>2</v>
      </c>
      <c r="O7" s="135" t="s">
        <v>251</v>
      </c>
      <c r="P7" s="136" t="s">
        <v>250</v>
      </c>
      <c r="Q7" s="732"/>
    </row>
    <row r="8" spans="1:19" ht="24.75" thickTop="1" thickBot="1">
      <c r="A8" s="720"/>
      <c r="B8" s="721"/>
      <c r="C8" s="722"/>
      <c r="D8" s="137">
        <f>P8</f>
        <v>1000</v>
      </c>
      <c r="E8" s="137">
        <f t="shared" ref="E8:N8" si="0">F15</f>
        <v>1275</v>
      </c>
      <c r="F8" s="137">
        <f t="shared" si="0"/>
        <v>1275</v>
      </c>
      <c r="G8" s="137">
        <f t="shared" si="0"/>
        <v>1275</v>
      </c>
      <c r="H8" s="137">
        <f t="shared" si="0"/>
        <v>1275</v>
      </c>
      <c r="I8" s="137">
        <f t="shared" si="0"/>
        <v>1275</v>
      </c>
      <c r="J8" s="137">
        <f t="shared" si="0"/>
        <v>1275</v>
      </c>
      <c r="K8" s="137">
        <f t="shared" si="0"/>
        <v>1020</v>
      </c>
      <c r="L8" s="137">
        <f t="shared" si="0"/>
        <v>1020</v>
      </c>
      <c r="M8" s="137">
        <f t="shared" si="0"/>
        <v>1020</v>
      </c>
      <c r="N8" s="137">
        <f t="shared" si="0"/>
        <v>1020</v>
      </c>
      <c r="O8" s="137">
        <f>P15</f>
        <v>1020</v>
      </c>
      <c r="P8" s="137">
        <f>'اطاعات تفصیلی سال قبل'!U23</f>
        <v>1000</v>
      </c>
      <c r="Q8" s="138" t="s">
        <v>257</v>
      </c>
    </row>
    <row r="9" spans="1:19" ht="24.75" thickTop="1" thickBot="1">
      <c r="A9" s="501">
        <f>B9/C9*100</f>
        <v>4.7205882352941355</v>
      </c>
      <c r="B9" s="501">
        <f>C9-D9</f>
        <v>481.50000000000182</v>
      </c>
      <c r="C9" s="501">
        <f>850*12</f>
        <v>10200</v>
      </c>
      <c r="D9" s="435">
        <f>SUM(E9:P9)</f>
        <v>9718.4999999999982</v>
      </c>
      <c r="E9" s="435">
        <f t="shared" ref="E9:O9" si="1">IF(E10&lt;E8,0,E10-E8)</f>
        <v>858.5</v>
      </c>
      <c r="F9" s="435">
        <f t="shared" si="1"/>
        <v>858.5</v>
      </c>
      <c r="G9" s="435">
        <f t="shared" si="1"/>
        <v>858.5</v>
      </c>
      <c r="H9" s="435">
        <f t="shared" si="1"/>
        <v>858.5</v>
      </c>
      <c r="I9" s="435">
        <f t="shared" si="1"/>
        <v>858.5</v>
      </c>
      <c r="J9" s="435">
        <f t="shared" si="1"/>
        <v>858.5</v>
      </c>
      <c r="K9" s="435">
        <f t="shared" si="1"/>
        <v>1113.5</v>
      </c>
      <c r="L9" s="435">
        <f t="shared" si="1"/>
        <v>686.8</v>
      </c>
      <c r="M9" s="435">
        <f t="shared" si="1"/>
        <v>686.8</v>
      </c>
      <c r="N9" s="435">
        <f t="shared" si="1"/>
        <v>686.8</v>
      </c>
      <c r="O9" s="435">
        <f t="shared" si="1"/>
        <v>686.8</v>
      </c>
      <c r="P9" s="435">
        <f>IF(P10&lt;P8,0,P10-P8)</f>
        <v>706.8</v>
      </c>
      <c r="Q9" s="434" t="s">
        <v>258</v>
      </c>
    </row>
    <row r="10" spans="1:19" ht="24.75" thickTop="1" thickBot="1">
      <c r="A10" s="723"/>
      <c r="B10" s="724"/>
      <c r="C10" s="725"/>
      <c r="D10" s="139">
        <f t="shared" ref="D10:O10" si="2">D12+D13+D11</f>
        <v>10718.5</v>
      </c>
      <c r="E10" s="139">
        <f t="shared" si="2"/>
        <v>2133.5</v>
      </c>
      <c r="F10" s="139">
        <f t="shared" si="2"/>
        <v>2133.5</v>
      </c>
      <c r="G10" s="139">
        <f t="shared" si="2"/>
        <v>2133.5</v>
      </c>
      <c r="H10" s="139">
        <f t="shared" si="2"/>
        <v>2133.5</v>
      </c>
      <c r="I10" s="139">
        <f t="shared" si="2"/>
        <v>2133.5</v>
      </c>
      <c r="J10" s="139">
        <f t="shared" si="2"/>
        <v>2133.5</v>
      </c>
      <c r="K10" s="139">
        <f t="shared" si="2"/>
        <v>2133.5</v>
      </c>
      <c r="L10" s="139">
        <f t="shared" si="2"/>
        <v>1706.8</v>
      </c>
      <c r="M10" s="139">
        <f t="shared" si="2"/>
        <v>1706.8</v>
      </c>
      <c r="N10" s="139">
        <f t="shared" si="2"/>
        <v>1706.8</v>
      </c>
      <c r="O10" s="139">
        <f t="shared" si="2"/>
        <v>1706.8</v>
      </c>
      <c r="P10" s="139">
        <f>P12+P13+P11</f>
        <v>1706.8</v>
      </c>
      <c r="Q10" s="140" t="s">
        <v>259</v>
      </c>
    </row>
    <row r="11" spans="1:19" ht="24.75" thickTop="1" thickBot="1">
      <c r="A11" s="726"/>
      <c r="B11" s="727"/>
      <c r="C11" s="728"/>
      <c r="D11" s="139">
        <f>SUM(E11:P11)</f>
        <v>93.499999999999986</v>
      </c>
      <c r="E11" s="139">
        <f t="shared" ref="E11:P11" si="3">E12*$R15%</f>
        <v>8.5</v>
      </c>
      <c r="F11" s="139">
        <f t="shared" si="3"/>
        <v>8.5</v>
      </c>
      <c r="G11" s="139">
        <f t="shared" si="3"/>
        <v>8.5</v>
      </c>
      <c r="H11" s="139">
        <f t="shared" si="3"/>
        <v>8.5</v>
      </c>
      <c r="I11" s="139">
        <f t="shared" si="3"/>
        <v>8.5</v>
      </c>
      <c r="J11" s="139">
        <f t="shared" si="3"/>
        <v>8.5</v>
      </c>
      <c r="K11" s="139">
        <f t="shared" si="3"/>
        <v>8.5</v>
      </c>
      <c r="L11" s="139">
        <f t="shared" si="3"/>
        <v>6.8</v>
      </c>
      <c r="M11" s="139">
        <f t="shared" si="3"/>
        <v>6.8</v>
      </c>
      <c r="N11" s="139">
        <f t="shared" si="3"/>
        <v>6.8</v>
      </c>
      <c r="O11" s="139">
        <f t="shared" si="3"/>
        <v>6.8</v>
      </c>
      <c r="P11" s="139">
        <f t="shared" si="3"/>
        <v>6.8</v>
      </c>
      <c r="Q11" s="140" t="s">
        <v>73</v>
      </c>
    </row>
    <row r="12" spans="1:19" ht="24.75" thickTop="1" thickBot="1">
      <c r="A12" s="726"/>
      <c r="B12" s="727"/>
      <c r="C12" s="728"/>
      <c r="D12" s="137">
        <f>'فروش محصول C'!D7</f>
        <v>9350</v>
      </c>
      <c r="E12" s="137">
        <f>'فروش محصول C'!E7</f>
        <v>850</v>
      </c>
      <c r="F12" s="137">
        <f>'فروش محصول C'!F7</f>
        <v>850</v>
      </c>
      <c r="G12" s="137">
        <f>'فروش محصول C'!G7</f>
        <v>850</v>
      </c>
      <c r="H12" s="137">
        <f>'فروش محصول C'!H7</f>
        <v>850</v>
      </c>
      <c r="I12" s="137">
        <f>'فروش محصول C'!I7</f>
        <v>850</v>
      </c>
      <c r="J12" s="137">
        <f>'فروش محصول C'!J7</f>
        <v>850</v>
      </c>
      <c r="K12" s="137">
        <f>'فروش محصول C'!K7</f>
        <v>850</v>
      </c>
      <c r="L12" s="137">
        <f>'فروش محصول C'!L7</f>
        <v>680</v>
      </c>
      <c r="M12" s="137">
        <f>'فروش محصول C'!M7</f>
        <v>680</v>
      </c>
      <c r="N12" s="137">
        <f>'فروش محصول C'!N7</f>
        <v>680</v>
      </c>
      <c r="O12" s="137">
        <f>'فروش محصول C'!O7</f>
        <v>680</v>
      </c>
      <c r="P12" s="137">
        <f>'فروش محصول C'!P7</f>
        <v>680</v>
      </c>
      <c r="Q12" s="138" t="s">
        <v>260</v>
      </c>
    </row>
    <row r="13" spans="1:19" ht="24.75" thickTop="1" thickBot="1">
      <c r="A13" s="729"/>
      <c r="B13" s="730"/>
      <c r="C13" s="731"/>
      <c r="D13" s="137">
        <f>E15</f>
        <v>1275</v>
      </c>
      <c r="E13" s="137">
        <f t="shared" ref="E13:P13" si="4">E12*$R14%</f>
        <v>1275</v>
      </c>
      <c r="F13" s="137">
        <f t="shared" si="4"/>
        <v>1275</v>
      </c>
      <c r="G13" s="137">
        <f t="shared" si="4"/>
        <v>1275</v>
      </c>
      <c r="H13" s="137">
        <f t="shared" si="4"/>
        <v>1275</v>
      </c>
      <c r="I13" s="137">
        <f t="shared" si="4"/>
        <v>1275</v>
      </c>
      <c r="J13" s="137">
        <f t="shared" si="4"/>
        <v>1275</v>
      </c>
      <c r="K13" s="137">
        <f t="shared" si="4"/>
        <v>1275</v>
      </c>
      <c r="L13" s="137">
        <f t="shared" si="4"/>
        <v>1020</v>
      </c>
      <c r="M13" s="137">
        <f t="shared" si="4"/>
        <v>1020</v>
      </c>
      <c r="N13" s="137">
        <f t="shared" si="4"/>
        <v>1020</v>
      </c>
      <c r="O13" s="137">
        <f t="shared" si="4"/>
        <v>1020</v>
      </c>
      <c r="P13" s="137">
        <f t="shared" si="4"/>
        <v>1020</v>
      </c>
      <c r="Q13" s="138" t="s">
        <v>712</v>
      </c>
    </row>
    <row r="14" spans="1:19" ht="24.75" thickTop="1" thickBot="1">
      <c r="E14" s="453">
        <f t="shared" ref="E14:O14" si="5">IF(E10&lt;E8,E8-E10,0)</f>
        <v>0</v>
      </c>
      <c r="F14" s="453">
        <f t="shared" si="5"/>
        <v>0</v>
      </c>
      <c r="G14" s="453">
        <f t="shared" si="5"/>
        <v>0</v>
      </c>
      <c r="H14" s="453">
        <f t="shared" si="5"/>
        <v>0</v>
      </c>
      <c r="I14" s="453">
        <f t="shared" si="5"/>
        <v>0</v>
      </c>
      <c r="J14" s="453">
        <f t="shared" si="5"/>
        <v>0</v>
      </c>
      <c r="K14" s="453">
        <f t="shared" si="5"/>
        <v>0</v>
      </c>
      <c r="L14" s="453">
        <f t="shared" si="5"/>
        <v>0</v>
      </c>
      <c r="M14" s="453">
        <f t="shared" si="5"/>
        <v>0</v>
      </c>
      <c r="N14" s="453">
        <f t="shared" si="5"/>
        <v>0</v>
      </c>
      <c r="O14" s="453">
        <f t="shared" si="5"/>
        <v>0</v>
      </c>
      <c r="P14" s="453">
        <f>IF(P10&lt;P8,P8-P10,0)</f>
        <v>0</v>
      </c>
      <c r="Q14" s="138" t="s">
        <v>710</v>
      </c>
      <c r="R14" s="250">
        <v>150</v>
      </c>
      <c r="S14" s="250" t="s">
        <v>326</v>
      </c>
    </row>
    <row r="15" spans="1:19" ht="24.75" thickTop="1" thickBot="1">
      <c r="E15" s="453">
        <f t="shared" ref="E15:O15" si="6">E13+E14</f>
        <v>1275</v>
      </c>
      <c r="F15" s="453">
        <f t="shared" si="6"/>
        <v>1275</v>
      </c>
      <c r="G15" s="453">
        <f t="shared" si="6"/>
        <v>1275</v>
      </c>
      <c r="H15" s="453">
        <f t="shared" si="6"/>
        <v>1275</v>
      </c>
      <c r="I15" s="453">
        <f t="shared" si="6"/>
        <v>1275</v>
      </c>
      <c r="J15" s="453">
        <f t="shared" si="6"/>
        <v>1275</v>
      </c>
      <c r="K15" s="453">
        <f t="shared" si="6"/>
        <v>1275</v>
      </c>
      <c r="L15" s="453">
        <f t="shared" si="6"/>
        <v>1020</v>
      </c>
      <c r="M15" s="453">
        <f t="shared" si="6"/>
        <v>1020</v>
      </c>
      <c r="N15" s="453">
        <f t="shared" si="6"/>
        <v>1020</v>
      </c>
      <c r="O15" s="453">
        <f t="shared" si="6"/>
        <v>1020</v>
      </c>
      <c r="P15" s="453">
        <f>P13+P14</f>
        <v>1020</v>
      </c>
      <c r="Q15" s="138" t="s">
        <v>711</v>
      </c>
      <c r="R15" s="250">
        <v>1</v>
      </c>
      <c r="S15" s="250" t="s">
        <v>457</v>
      </c>
    </row>
    <row r="16" spans="1:19" ht="24" thickTop="1"/>
    <row r="17" spans="1:17">
      <c r="A17" s="502">
        <f>B17/C17*100</f>
        <v>5.0354545454545532</v>
      </c>
      <c r="B17" s="502">
        <f>'گردش توليد و مواد ( A)'!B9+'گردش توليد و مواد B'!B9+'گردش توليد و مواد C'!B9</f>
        <v>1661.7000000000025</v>
      </c>
      <c r="C17" s="502">
        <f>'گردش توليد و مواد ( A)'!C9+'گردش توليد و مواد B'!C9+'گردش توليد و مواد C'!C9</f>
        <v>33000</v>
      </c>
      <c r="D17" s="502">
        <f>'گردش توليد و مواد ( A)'!D9+'گردش توليد و مواد B'!D9+'گردش توليد و مواد C'!D9</f>
        <v>31338.299999999996</v>
      </c>
      <c r="E17" s="502" t="s">
        <v>769</v>
      </c>
      <c r="Q17" s="142" t="s">
        <v>261</v>
      </c>
    </row>
    <row r="20" spans="1:17" ht="24" thickBot="1">
      <c r="Q20" s="143" t="s">
        <v>263</v>
      </c>
    </row>
    <row r="21" spans="1:17" ht="24.75" thickTop="1" thickBot="1">
      <c r="C21" s="733" t="s">
        <v>319</v>
      </c>
      <c r="D21" s="250" t="s">
        <v>12</v>
      </c>
      <c r="E21" s="136" t="s">
        <v>41</v>
      </c>
      <c r="F21" s="136" t="s">
        <v>10</v>
      </c>
      <c r="G21" s="136" t="s">
        <v>254</v>
      </c>
      <c r="H21" s="136" t="s">
        <v>8</v>
      </c>
      <c r="I21" s="136" t="s">
        <v>40</v>
      </c>
      <c r="J21" s="136" t="s">
        <v>6</v>
      </c>
      <c r="K21" s="136" t="s">
        <v>253</v>
      </c>
      <c r="L21" s="136" t="s">
        <v>4</v>
      </c>
      <c r="M21" s="136" t="s">
        <v>266</v>
      </c>
      <c r="N21" s="136" t="s">
        <v>2</v>
      </c>
      <c r="O21" s="136" t="s">
        <v>251</v>
      </c>
      <c r="P21" s="136" t="s">
        <v>250</v>
      </c>
      <c r="Q21" s="733" t="s">
        <v>262</v>
      </c>
    </row>
    <row r="22" spans="1:17" ht="24.75" thickTop="1" thickBot="1">
      <c r="C22" s="734"/>
      <c r="D22" s="436">
        <f>SUM(E22:P22)</f>
        <v>3579262500</v>
      </c>
      <c r="E22" s="436">
        <f t="shared" ref="E22:O22" si="7">E41</f>
        <v>310777000</v>
      </c>
      <c r="F22" s="436">
        <f t="shared" si="7"/>
        <v>310777000</v>
      </c>
      <c r="G22" s="436">
        <f t="shared" si="7"/>
        <v>310777000</v>
      </c>
      <c r="H22" s="436">
        <f t="shared" si="7"/>
        <v>310777000</v>
      </c>
      <c r="I22" s="436">
        <f t="shared" si="7"/>
        <v>310777000</v>
      </c>
      <c r="J22" s="436">
        <f t="shared" si="7"/>
        <v>172312000</v>
      </c>
      <c r="K22" s="436">
        <f t="shared" si="7"/>
        <v>634785100</v>
      </c>
      <c r="L22" s="436">
        <f t="shared" si="7"/>
        <v>248621599.99999994</v>
      </c>
      <c r="M22" s="436">
        <f t="shared" si="7"/>
        <v>248621599.99999994</v>
      </c>
      <c r="N22" s="436">
        <f t="shared" si="7"/>
        <v>248621599.99999994</v>
      </c>
      <c r="O22" s="436">
        <f t="shared" si="7"/>
        <v>237761599.99999994</v>
      </c>
      <c r="P22" s="436">
        <f>P41</f>
        <v>234653999.99999988</v>
      </c>
      <c r="Q22" s="734"/>
    </row>
    <row r="23" spans="1:17" s="148" customFormat="1" ht="24.75" thickTop="1" thickBot="1">
      <c r="C23" s="145"/>
      <c r="D23" s="146"/>
      <c r="E23" s="146"/>
      <c r="F23" s="146"/>
      <c r="G23" s="146"/>
      <c r="H23" s="146"/>
      <c r="I23" s="146"/>
      <c r="J23" s="146"/>
      <c r="K23" s="146"/>
      <c r="L23" s="146"/>
      <c r="M23" s="146"/>
      <c r="N23" s="146"/>
      <c r="O23" s="146"/>
      <c r="P23" s="146"/>
      <c r="Q23" s="147"/>
    </row>
    <row r="24" spans="1:17" ht="24.75" thickTop="1" thickBot="1">
      <c r="C24" s="593"/>
      <c r="D24" s="149">
        <f>SUM(E24:P24)</f>
        <v>234653999.99999988</v>
      </c>
      <c r="E24" s="150"/>
      <c r="F24" s="150"/>
      <c r="G24" s="150"/>
      <c r="H24" s="150"/>
      <c r="I24" s="150"/>
      <c r="J24" s="150"/>
      <c r="K24" s="150"/>
      <c r="L24" s="150"/>
      <c r="M24" s="150"/>
      <c r="N24" s="150"/>
      <c r="O24" s="150">
        <f>P$22*50%</f>
        <v>117326999.99999994</v>
      </c>
      <c r="P24" s="150">
        <f>P$22*50%</f>
        <v>117326999.99999994</v>
      </c>
      <c r="Q24" s="250" t="s">
        <v>267</v>
      </c>
    </row>
    <row r="25" spans="1:17" ht="24.75" thickTop="1" thickBot="1">
      <c r="C25" s="593"/>
      <c r="D25" s="149">
        <f t="shared" ref="D25:D35" si="8">SUM(E25:P25)</f>
        <v>237761599.99999994</v>
      </c>
      <c r="E25" s="150"/>
      <c r="F25" s="150"/>
      <c r="G25" s="150"/>
      <c r="H25" s="150"/>
      <c r="I25" s="150"/>
      <c r="J25" s="150"/>
      <c r="K25" s="150"/>
      <c r="L25" s="150"/>
      <c r="M25" s="150"/>
      <c r="N25" s="150">
        <f>O$22*50%</f>
        <v>118880799.99999997</v>
      </c>
      <c r="O25" s="150">
        <f>O$22*50%</f>
        <v>118880799.99999997</v>
      </c>
      <c r="P25" s="150"/>
      <c r="Q25" s="250" t="s">
        <v>268</v>
      </c>
    </row>
    <row r="26" spans="1:17" ht="24.75" thickTop="1" thickBot="1">
      <c r="C26" s="593"/>
      <c r="D26" s="149">
        <f t="shared" si="8"/>
        <v>248621599.99999994</v>
      </c>
      <c r="E26" s="150"/>
      <c r="F26" s="150"/>
      <c r="G26" s="150"/>
      <c r="H26" s="150"/>
      <c r="I26" s="150"/>
      <c r="J26" s="150"/>
      <c r="K26" s="150"/>
      <c r="L26" s="150"/>
      <c r="M26" s="150">
        <f>N$22*50%</f>
        <v>124310799.99999997</v>
      </c>
      <c r="N26" s="150">
        <f>N$22*50%</f>
        <v>124310799.99999997</v>
      </c>
      <c r="O26" s="150"/>
      <c r="P26" s="150"/>
      <c r="Q26" s="250" t="s">
        <v>269</v>
      </c>
    </row>
    <row r="27" spans="1:17" ht="24.75" thickTop="1" thickBot="1">
      <c r="C27" s="593"/>
      <c r="D27" s="149">
        <f t="shared" si="8"/>
        <v>248621599.99999994</v>
      </c>
      <c r="E27" s="150"/>
      <c r="F27" s="150"/>
      <c r="G27" s="150"/>
      <c r="H27" s="150"/>
      <c r="I27" s="150"/>
      <c r="J27" s="150"/>
      <c r="K27" s="150"/>
      <c r="L27" s="150">
        <f>M$22*50%</f>
        <v>124310799.99999997</v>
      </c>
      <c r="M27" s="150">
        <f>M$22*50%</f>
        <v>124310799.99999997</v>
      </c>
      <c r="N27" s="150"/>
      <c r="O27" s="150"/>
      <c r="P27" s="150"/>
      <c r="Q27" s="250" t="s">
        <v>270</v>
      </c>
    </row>
    <row r="28" spans="1:17" ht="24.75" thickTop="1" thickBot="1">
      <c r="C28" s="593"/>
      <c r="D28" s="149">
        <f t="shared" si="8"/>
        <v>248621599.99999994</v>
      </c>
      <c r="E28" s="150"/>
      <c r="F28" s="150"/>
      <c r="G28" s="150"/>
      <c r="H28" s="150"/>
      <c r="I28" s="150"/>
      <c r="J28" s="150"/>
      <c r="K28" s="150">
        <f>L$22*50%</f>
        <v>124310799.99999997</v>
      </c>
      <c r="L28" s="150">
        <f>L$22*50%</f>
        <v>124310799.99999997</v>
      </c>
      <c r="M28" s="150"/>
      <c r="N28" s="150"/>
      <c r="O28" s="150"/>
      <c r="P28" s="150"/>
      <c r="Q28" s="250" t="s">
        <v>271</v>
      </c>
    </row>
    <row r="29" spans="1:17" ht="24.75" thickTop="1" thickBot="1">
      <c r="C29" s="593"/>
      <c r="D29" s="149">
        <f t="shared" si="8"/>
        <v>634785100</v>
      </c>
      <c r="E29" s="150"/>
      <c r="F29" s="150"/>
      <c r="G29" s="150"/>
      <c r="H29" s="150"/>
      <c r="I29" s="150"/>
      <c r="J29" s="150">
        <f>K$22*50%</f>
        <v>317392550</v>
      </c>
      <c r="K29" s="150">
        <f>K$22*50%</f>
        <v>317392550</v>
      </c>
      <c r="L29" s="150"/>
      <c r="M29" s="150"/>
      <c r="N29" s="150"/>
      <c r="O29" s="150"/>
      <c r="P29" s="150"/>
      <c r="Q29" s="250" t="s">
        <v>272</v>
      </c>
    </row>
    <row r="30" spans="1:17" ht="24.75" thickTop="1" thickBot="1">
      <c r="C30" s="593"/>
      <c r="D30" s="149">
        <f t="shared" si="8"/>
        <v>172312000</v>
      </c>
      <c r="E30" s="150"/>
      <c r="F30" s="150"/>
      <c r="G30" s="150"/>
      <c r="H30" s="150"/>
      <c r="I30" s="150">
        <f>J$22*50%</f>
        <v>86156000</v>
      </c>
      <c r="J30" s="150">
        <f>J$22*50%</f>
        <v>86156000</v>
      </c>
      <c r="K30" s="150"/>
      <c r="L30" s="150"/>
      <c r="M30" s="150"/>
      <c r="N30" s="150"/>
      <c r="O30" s="150"/>
      <c r="P30" s="150"/>
      <c r="Q30" s="250" t="s">
        <v>273</v>
      </c>
    </row>
    <row r="31" spans="1:17" ht="24.75" thickTop="1" thickBot="1">
      <c r="C31" s="593"/>
      <c r="D31" s="149">
        <f t="shared" si="8"/>
        <v>310777000</v>
      </c>
      <c r="E31" s="150"/>
      <c r="F31" s="150"/>
      <c r="G31" s="150"/>
      <c r="H31" s="150">
        <f>I$22*50%</f>
        <v>155388500</v>
      </c>
      <c r="I31" s="150">
        <f>I$22*50%</f>
        <v>155388500</v>
      </c>
      <c r="J31" s="150"/>
      <c r="K31" s="150"/>
      <c r="L31" s="150"/>
      <c r="M31" s="150"/>
      <c r="N31" s="150"/>
      <c r="O31" s="150"/>
      <c r="P31" s="150"/>
      <c r="Q31" s="250" t="s">
        <v>274</v>
      </c>
    </row>
    <row r="32" spans="1:17" ht="24.75" thickTop="1" thickBot="1">
      <c r="C32" s="593"/>
      <c r="D32" s="149">
        <f t="shared" si="8"/>
        <v>310777000</v>
      </c>
      <c r="E32" s="150"/>
      <c r="F32" s="150"/>
      <c r="G32" s="150">
        <f>H$22*50%</f>
        <v>155388500</v>
      </c>
      <c r="H32" s="150">
        <f>H$22*50%</f>
        <v>155388500</v>
      </c>
      <c r="I32" s="150"/>
      <c r="J32" s="150"/>
      <c r="K32" s="150"/>
      <c r="L32" s="150"/>
      <c r="M32" s="150"/>
      <c r="N32" s="150"/>
      <c r="O32" s="150"/>
      <c r="P32" s="150"/>
      <c r="Q32" s="250" t="s">
        <v>275</v>
      </c>
    </row>
    <row r="33" spans="3:19" ht="24.75" thickTop="1" thickBot="1">
      <c r="C33" s="593"/>
      <c r="D33" s="149">
        <f t="shared" si="8"/>
        <v>310777000</v>
      </c>
      <c r="E33" s="150"/>
      <c r="F33" s="150">
        <f>G$22*50%</f>
        <v>155388500</v>
      </c>
      <c r="G33" s="150">
        <f>G$22*50%</f>
        <v>155388500</v>
      </c>
      <c r="H33" s="150"/>
      <c r="I33" s="150"/>
      <c r="J33" s="150"/>
      <c r="K33" s="150"/>
      <c r="L33" s="150"/>
      <c r="M33" s="150"/>
      <c r="N33" s="150"/>
      <c r="O33" s="150"/>
      <c r="P33" s="150"/>
      <c r="Q33" s="250" t="s">
        <v>276</v>
      </c>
    </row>
    <row r="34" spans="3:19" ht="24.75" thickTop="1" thickBot="1">
      <c r="C34" s="593"/>
      <c r="D34" s="149">
        <f t="shared" si="8"/>
        <v>310777000</v>
      </c>
      <c r="E34" s="150">
        <f>F$22*50%</f>
        <v>155388500</v>
      </c>
      <c r="F34" s="150">
        <f>F$22*50%</f>
        <v>155388500</v>
      </c>
      <c r="G34" s="150"/>
      <c r="H34" s="150"/>
      <c r="I34" s="150"/>
      <c r="J34" s="150"/>
      <c r="K34" s="150"/>
      <c r="L34" s="150"/>
      <c r="M34" s="150"/>
      <c r="N34" s="150"/>
      <c r="O34" s="150"/>
      <c r="P34" s="150"/>
      <c r="Q34" s="250" t="s">
        <v>277</v>
      </c>
    </row>
    <row r="35" spans="3:19" ht="24.75" thickTop="1" thickBot="1">
      <c r="C35" s="593">
        <f>E22*50%</f>
        <v>155388500</v>
      </c>
      <c r="D35" s="149">
        <f t="shared" si="8"/>
        <v>155388500</v>
      </c>
      <c r="E35" s="150">
        <f>E22*50%</f>
        <v>155388500</v>
      </c>
      <c r="F35" s="150"/>
      <c r="G35" s="150"/>
      <c r="H35" s="150"/>
      <c r="I35" s="150"/>
      <c r="J35" s="150"/>
      <c r="K35" s="150"/>
      <c r="L35" s="150"/>
      <c r="M35" s="150"/>
      <c r="N35" s="150"/>
      <c r="O35" s="150"/>
      <c r="P35" s="150"/>
      <c r="Q35" s="250" t="s">
        <v>278</v>
      </c>
    </row>
    <row r="36" spans="3:19" ht="48" thickTop="1" thickBot="1">
      <c r="C36" s="151">
        <f t="shared" ref="C36:O36" si="9">SUM(C24:C35)</f>
        <v>155388500</v>
      </c>
      <c r="D36" s="151">
        <f t="shared" si="9"/>
        <v>3423874000</v>
      </c>
      <c r="E36" s="151">
        <f t="shared" si="9"/>
        <v>310777000</v>
      </c>
      <c r="F36" s="151">
        <f t="shared" si="9"/>
        <v>310777000</v>
      </c>
      <c r="G36" s="151">
        <f t="shared" si="9"/>
        <v>310777000</v>
      </c>
      <c r="H36" s="151">
        <f t="shared" si="9"/>
        <v>310777000</v>
      </c>
      <c r="I36" s="151">
        <f t="shared" si="9"/>
        <v>241544500</v>
      </c>
      <c r="J36" s="151">
        <f t="shared" si="9"/>
        <v>403548550</v>
      </c>
      <c r="K36" s="151">
        <f t="shared" si="9"/>
        <v>441703350</v>
      </c>
      <c r="L36" s="151">
        <f t="shared" si="9"/>
        <v>248621599.99999994</v>
      </c>
      <c r="M36" s="151">
        <f t="shared" si="9"/>
        <v>248621599.99999994</v>
      </c>
      <c r="N36" s="151">
        <f t="shared" si="9"/>
        <v>243191599.99999994</v>
      </c>
      <c r="O36" s="151">
        <f t="shared" si="9"/>
        <v>236207799.99999991</v>
      </c>
      <c r="P36" s="151">
        <f>SUM(P24:P35)</f>
        <v>117326999.99999994</v>
      </c>
      <c r="Q36" s="152" t="s">
        <v>264</v>
      </c>
    </row>
    <row r="37" spans="3:19" ht="24" thickTop="1"/>
    <row r="38" spans="3:19" ht="24" thickBot="1">
      <c r="Q38" s="153" t="s">
        <v>265</v>
      </c>
    </row>
    <row r="39" spans="3:19" ht="24.75" thickTop="1" thickBot="1">
      <c r="D39" s="154" t="s">
        <v>12</v>
      </c>
      <c r="E39" s="155" t="s">
        <v>41</v>
      </c>
      <c r="F39" s="156" t="s">
        <v>10</v>
      </c>
      <c r="G39" s="156" t="s">
        <v>254</v>
      </c>
      <c r="H39" s="156" t="s">
        <v>8</v>
      </c>
      <c r="I39" s="156" t="s">
        <v>40</v>
      </c>
      <c r="J39" s="156" t="s">
        <v>6</v>
      </c>
      <c r="K39" s="156" t="s">
        <v>253</v>
      </c>
      <c r="L39" s="156" t="s">
        <v>4</v>
      </c>
      <c r="M39" s="156" t="s">
        <v>266</v>
      </c>
      <c r="N39" s="156" t="s">
        <v>2</v>
      </c>
      <c r="O39" s="156" t="s">
        <v>251</v>
      </c>
      <c r="P39" s="156" t="s">
        <v>250</v>
      </c>
      <c r="Q39" s="250" t="s">
        <v>256</v>
      </c>
    </row>
    <row r="40" spans="3:19" ht="24.75" thickTop="1" thickBot="1">
      <c r="C40" s="158" t="s">
        <v>761</v>
      </c>
      <c r="D40" s="157">
        <f>P40</f>
        <v>405000000</v>
      </c>
      <c r="E40" s="115">
        <f t="shared" ref="E40:N40" si="10">F46</f>
        <v>466165500</v>
      </c>
      <c r="F40" s="115">
        <f t="shared" si="10"/>
        <v>466165500</v>
      </c>
      <c r="G40" s="115">
        <f t="shared" si="10"/>
        <v>466165500</v>
      </c>
      <c r="H40" s="115">
        <f t="shared" si="10"/>
        <v>466165500</v>
      </c>
      <c r="I40" s="115">
        <f t="shared" si="10"/>
        <v>466165500</v>
      </c>
      <c r="J40" s="115">
        <f t="shared" si="10"/>
        <v>604630500</v>
      </c>
      <c r="K40" s="115">
        <f t="shared" si="10"/>
        <v>372932399.99999994</v>
      </c>
      <c r="L40" s="115">
        <f t="shared" si="10"/>
        <v>372932399.99999994</v>
      </c>
      <c r="M40" s="115">
        <f t="shared" si="10"/>
        <v>372932399.99999994</v>
      </c>
      <c r="N40" s="115">
        <f t="shared" si="10"/>
        <v>372932399.99999994</v>
      </c>
      <c r="O40" s="115">
        <f>P46</f>
        <v>383792399.99999994</v>
      </c>
      <c r="P40" s="115">
        <f>'اطاعات تفصیلی سال قبل'!S33</f>
        <v>405000000</v>
      </c>
      <c r="Q40" s="158" t="s">
        <v>440</v>
      </c>
    </row>
    <row r="41" spans="3:19" ht="24" thickBot="1">
      <c r="C41" s="163" t="s">
        <v>762</v>
      </c>
      <c r="D41" s="160">
        <f>SUM(E41:P41)</f>
        <v>3579262500</v>
      </c>
      <c r="E41" s="160">
        <f t="shared" ref="E41:O41" si="11">IF(E42&lt;E40,0,E42-E40)</f>
        <v>310777000</v>
      </c>
      <c r="F41" s="160">
        <f t="shared" si="11"/>
        <v>310777000</v>
      </c>
      <c r="G41" s="160">
        <f t="shared" si="11"/>
        <v>310777000</v>
      </c>
      <c r="H41" s="160">
        <f t="shared" si="11"/>
        <v>310777000</v>
      </c>
      <c r="I41" s="160">
        <f t="shared" si="11"/>
        <v>310777000</v>
      </c>
      <c r="J41" s="160">
        <f t="shared" si="11"/>
        <v>172312000</v>
      </c>
      <c r="K41" s="160">
        <f t="shared" si="11"/>
        <v>634785100</v>
      </c>
      <c r="L41" s="160">
        <f t="shared" si="11"/>
        <v>248621599.99999994</v>
      </c>
      <c r="M41" s="160">
        <f t="shared" si="11"/>
        <v>248621599.99999994</v>
      </c>
      <c r="N41" s="160">
        <f t="shared" si="11"/>
        <v>248621599.99999994</v>
      </c>
      <c r="O41" s="160">
        <f t="shared" si="11"/>
        <v>237761599.99999994</v>
      </c>
      <c r="P41" s="160">
        <f>IF(P42&lt;P40,0,P42-P40)</f>
        <v>234653999.99999988</v>
      </c>
      <c r="Q41" s="159" t="s">
        <v>441</v>
      </c>
    </row>
    <row r="42" spans="3:19" ht="24" thickBot="1">
      <c r="C42" s="165" t="s">
        <v>328</v>
      </c>
      <c r="D42" s="164">
        <f t="shared" ref="D42:P42" si="12">D43+D44</f>
        <v>3984262499.9999995</v>
      </c>
      <c r="E42" s="164">
        <f t="shared" si="12"/>
        <v>776942500</v>
      </c>
      <c r="F42" s="164">
        <f t="shared" si="12"/>
        <v>776942500</v>
      </c>
      <c r="G42" s="164">
        <f t="shared" si="12"/>
        <v>776942500</v>
      </c>
      <c r="H42" s="164">
        <f t="shared" si="12"/>
        <v>776942500</v>
      </c>
      <c r="I42" s="164">
        <f t="shared" si="12"/>
        <v>776942500</v>
      </c>
      <c r="J42" s="164">
        <f t="shared" si="12"/>
        <v>776942500</v>
      </c>
      <c r="K42" s="164">
        <f t="shared" si="12"/>
        <v>1007717500</v>
      </c>
      <c r="L42" s="164">
        <f t="shared" si="12"/>
        <v>621553999.99999988</v>
      </c>
      <c r="M42" s="164">
        <f t="shared" si="12"/>
        <v>621553999.99999988</v>
      </c>
      <c r="N42" s="164">
        <f t="shared" si="12"/>
        <v>621553999.99999988</v>
      </c>
      <c r="O42" s="164">
        <f t="shared" si="12"/>
        <v>621553999.99999988</v>
      </c>
      <c r="P42" s="164">
        <f t="shared" si="12"/>
        <v>639653999.99999988</v>
      </c>
      <c r="Q42" s="165" t="s">
        <v>442</v>
      </c>
    </row>
    <row r="43" spans="3:19" ht="24" thickBot="1">
      <c r="C43" s="161" t="s">
        <v>329</v>
      </c>
      <c r="D43" s="160">
        <f>D9*bom!$N18</f>
        <v>3518096999.9999995</v>
      </c>
      <c r="E43" s="160">
        <f>E9*bom!$N18</f>
        <v>310777000</v>
      </c>
      <c r="F43" s="160">
        <f>F9*bom!$N18</f>
        <v>310777000</v>
      </c>
      <c r="G43" s="160">
        <f>G9*bom!$N18</f>
        <v>310777000</v>
      </c>
      <c r="H43" s="160">
        <f>H9*bom!$N18</f>
        <v>310777000</v>
      </c>
      <c r="I43" s="160">
        <f>I9*bom!$N18</f>
        <v>310777000</v>
      </c>
      <c r="J43" s="160">
        <f>J9*bom!$N18</f>
        <v>310777000</v>
      </c>
      <c r="K43" s="160">
        <f>K9*bom!$N18</f>
        <v>403087000</v>
      </c>
      <c r="L43" s="160">
        <f>L9*bom!$N18</f>
        <v>248621599.99999997</v>
      </c>
      <c r="M43" s="160">
        <f>M9*bom!$N18</f>
        <v>248621599.99999997</v>
      </c>
      <c r="N43" s="160">
        <f>N9*bom!$N18</f>
        <v>248621599.99999997</v>
      </c>
      <c r="O43" s="160">
        <f>O9*bom!$N18</f>
        <v>248621599.99999997</v>
      </c>
      <c r="P43" s="160">
        <f>P9*bom!$N18</f>
        <v>255861599.99999997</v>
      </c>
      <c r="Q43" s="161" t="s">
        <v>443</v>
      </c>
    </row>
    <row r="44" spans="3:19" ht="24.75" thickTop="1" thickBot="1">
      <c r="C44" s="162" t="s">
        <v>763</v>
      </c>
      <c r="D44" s="252">
        <f>E46</f>
        <v>466165500</v>
      </c>
      <c r="E44" s="253">
        <f t="shared" ref="E44:P44" si="13">E43*$R46%</f>
        <v>466165500</v>
      </c>
      <c r="F44" s="253">
        <f t="shared" si="13"/>
        <v>466165500</v>
      </c>
      <c r="G44" s="253">
        <f t="shared" si="13"/>
        <v>466165500</v>
      </c>
      <c r="H44" s="253">
        <f t="shared" si="13"/>
        <v>466165500</v>
      </c>
      <c r="I44" s="253">
        <f t="shared" si="13"/>
        <v>466165500</v>
      </c>
      <c r="J44" s="253">
        <f t="shared" si="13"/>
        <v>466165500</v>
      </c>
      <c r="K44" s="253">
        <f t="shared" si="13"/>
        <v>604630500</v>
      </c>
      <c r="L44" s="253">
        <f t="shared" si="13"/>
        <v>372932399.99999994</v>
      </c>
      <c r="M44" s="253">
        <f t="shared" si="13"/>
        <v>372932399.99999994</v>
      </c>
      <c r="N44" s="253">
        <f t="shared" si="13"/>
        <v>372932399.99999994</v>
      </c>
      <c r="O44" s="253">
        <f t="shared" si="13"/>
        <v>372932399.99999994</v>
      </c>
      <c r="P44" s="253">
        <f t="shared" si="13"/>
        <v>383792399.99999994</v>
      </c>
      <c r="Q44" s="254" t="s">
        <v>444</v>
      </c>
    </row>
    <row r="45" spans="3:19" ht="24" thickBot="1">
      <c r="D45" s="255"/>
      <c r="E45" s="251">
        <f t="shared" ref="E45:O45" si="14">IF(E42&lt;E40,E40-E42,0)</f>
        <v>0</v>
      </c>
      <c r="F45" s="251">
        <f t="shared" si="14"/>
        <v>0</v>
      </c>
      <c r="G45" s="251">
        <f t="shared" si="14"/>
        <v>0</v>
      </c>
      <c r="H45" s="251">
        <f t="shared" si="14"/>
        <v>0</v>
      </c>
      <c r="I45" s="251">
        <f t="shared" si="14"/>
        <v>0</v>
      </c>
      <c r="J45" s="251">
        <f t="shared" si="14"/>
        <v>0</v>
      </c>
      <c r="K45" s="251">
        <f t="shared" si="14"/>
        <v>0</v>
      </c>
      <c r="L45" s="251">
        <f t="shared" si="14"/>
        <v>0</v>
      </c>
      <c r="M45" s="251">
        <f t="shared" si="14"/>
        <v>0</v>
      </c>
      <c r="N45" s="251">
        <f t="shared" si="14"/>
        <v>0</v>
      </c>
      <c r="O45" s="251">
        <f t="shared" si="14"/>
        <v>0</v>
      </c>
      <c r="P45" s="251">
        <f>IF(P42&lt;P40,P40-P42,0)</f>
        <v>0</v>
      </c>
      <c r="Q45" s="251" t="str">
        <f>IF(P45&gt;0,"مازاد کالا","عادی")</f>
        <v>عادی</v>
      </c>
    </row>
    <row r="46" spans="3:19" ht="24" thickBot="1">
      <c r="D46" s="255"/>
      <c r="E46" s="251">
        <f t="shared" ref="E46:O46" si="15">E44+E45</f>
        <v>466165500</v>
      </c>
      <c r="F46" s="251">
        <f t="shared" si="15"/>
        <v>466165500</v>
      </c>
      <c r="G46" s="251">
        <f t="shared" si="15"/>
        <v>466165500</v>
      </c>
      <c r="H46" s="251">
        <f t="shared" si="15"/>
        <v>466165500</v>
      </c>
      <c r="I46" s="251">
        <f t="shared" si="15"/>
        <v>466165500</v>
      </c>
      <c r="J46" s="251">
        <f t="shared" si="15"/>
        <v>466165500</v>
      </c>
      <c r="K46" s="251">
        <f t="shared" si="15"/>
        <v>604630500</v>
      </c>
      <c r="L46" s="251">
        <f t="shared" si="15"/>
        <v>372932399.99999994</v>
      </c>
      <c r="M46" s="251">
        <f t="shared" si="15"/>
        <v>372932399.99999994</v>
      </c>
      <c r="N46" s="251">
        <f t="shared" si="15"/>
        <v>372932399.99999994</v>
      </c>
      <c r="O46" s="251">
        <f t="shared" si="15"/>
        <v>372932399.99999994</v>
      </c>
      <c r="P46" s="251">
        <f>P44+P45</f>
        <v>383792399.99999994</v>
      </c>
      <c r="Q46" s="251" t="s">
        <v>463</v>
      </c>
      <c r="R46" s="251">
        <v>150</v>
      </c>
      <c r="S46" s="251" t="s">
        <v>327</v>
      </c>
    </row>
  </sheetData>
  <mergeCells count="10">
    <mergeCell ref="D5:D7"/>
    <mergeCell ref="G5:P5"/>
    <mergeCell ref="Q5:Q7"/>
    <mergeCell ref="C21:C22"/>
    <mergeCell ref="Q21:Q22"/>
    <mergeCell ref="A5:A7"/>
    <mergeCell ref="B5:B7"/>
    <mergeCell ref="C5:C7"/>
    <mergeCell ref="A8:C8"/>
    <mergeCell ref="A10:C13"/>
  </mergeCells>
  <hyperlinks>
    <hyperlink ref="Q3" r:id="rId1" location="'فهرست مطالب'!A1" display="گردش محصول پالتو"/>
  </hyperlinks>
  <pageMargins left="0.7" right="0.7" top="0.75" bottom="0.75" header="0.3" footer="0.3"/>
  <pageSetup paperSize="9" orientation="portrait" horizontalDpi="300" verticalDpi="300" r:id="rId2"/>
  <legacyDrawing r:id="rId3"/>
</worksheet>
</file>

<file path=xl/worksheets/sheet22.xml><?xml version="1.0" encoding="utf-8"?>
<worksheet xmlns="http://schemas.openxmlformats.org/spreadsheetml/2006/main" xmlns:r="http://schemas.openxmlformats.org/officeDocument/2006/relationships">
  <dimension ref="C4:Q24"/>
  <sheetViews>
    <sheetView topLeftCell="A8" workbookViewId="0">
      <selection activeCell="E26" sqref="E26"/>
    </sheetView>
  </sheetViews>
  <sheetFormatPr defaultColWidth="8.85546875" defaultRowHeight="15"/>
  <cols>
    <col min="3" max="3" width="23.28515625" bestFit="1" customWidth="1"/>
    <col min="4" max="4" width="23.140625" bestFit="1" customWidth="1"/>
    <col min="5" max="16" width="21.28515625" bestFit="1" customWidth="1"/>
    <col min="17" max="17" width="49.7109375" bestFit="1" customWidth="1"/>
  </cols>
  <sheetData>
    <row r="4" spans="3:17" ht="23.25">
      <c r="P4" s="736" t="s">
        <v>446</v>
      </c>
      <c r="Q4" s="736"/>
    </row>
    <row r="7" spans="3:17" ht="24" thickBot="1"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43" t="s">
        <v>445</v>
      </c>
    </row>
    <row r="8" spans="3:17" ht="24.75" thickTop="1" thickBot="1">
      <c r="C8" s="733" t="s">
        <v>319</v>
      </c>
      <c r="D8" s="536" t="s">
        <v>802</v>
      </c>
      <c r="E8" s="136" t="s">
        <v>41</v>
      </c>
      <c r="F8" s="136" t="s">
        <v>10</v>
      </c>
      <c r="G8" s="136" t="s">
        <v>254</v>
      </c>
      <c r="H8" s="136" t="s">
        <v>8</v>
      </c>
      <c r="I8" s="136" t="s">
        <v>40</v>
      </c>
      <c r="J8" s="136" t="s">
        <v>6</v>
      </c>
      <c r="K8" s="136" t="s">
        <v>253</v>
      </c>
      <c r="L8" s="136" t="s">
        <v>4</v>
      </c>
      <c r="M8" s="136" t="s">
        <v>266</v>
      </c>
      <c r="N8" s="136" t="s">
        <v>2</v>
      </c>
      <c r="O8" s="136" t="s">
        <v>251</v>
      </c>
      <c r="P8" s="136" t="s">
        <v>250</v>
      </c>
      <c r="Q8" s="733" t="s">
        <v>262</v>
      </c>
    </row>
    <row r="9" spans="3:17" ht="24.75" thickTop="1" thickBot="1">
      <c r="C9" s="734"/>
      <c r="D9" s="144">
        <f>'گردش توليد و مواد ( A)'!D22+'گردش توليد و مواد B'!D22+'گردش توليد و مواد C'!D22</f>
        <v>42706860500</v>
      </c>
      <c r="E9" s="144">
        <f>'گردش توليد و مواد ( A)'!E22+'گردش توليد و مواد B'!E22+'گردش توليد و مواد C'!E22</f>
        <v>4325917000</v>
      </c>
      <c r="F9" s="144">
        <f>'گردش توليد و مواد ( A)'!F22+'گردش توليد و مواد B'!F22+'گردش توليد و مواد C'!F22</f>
        <v>4863699400</v>
      </c>
      <c r="G9" s="144">
        <f>'گردش توليد و مواد ( A)'!G22+'گردش توليد و مواد B'!G22+'گردش توليد و مواد C'!G22</f>
        <v>4672761400.000001</v>
      </c>
      <c r="H9" s="144">
        <f>'گردش توليد و مواد ( A)'!H22+'گردش توليد و مواد B'!H22+'گردش توليد و مواد C'!H22</f>
        <v>3817801000</v>
      </c>
      <c r="I9" s="144">
        <f>'گردش توليد و مواد ( A)'!I22+'گردش توليد و مواد B'!I22+'گردش توليد و مواد C'!I22</f>
        <v>3439081000</v>
      </c>
      <c r="J9" s="144">
        <f>'گردش توليد و مواد ( A)'!J22+'گردش توليد و مواد B'!J22+'گردش توليد و مواد C'!J22</f>
        <v>5206283200</v>
      </c>
      <c r="K9" s="144">
        <f>'گردش توليد و مواد ( A)'!K22+'گردش توليد و مواد B'!K22+'گردش توليد و مواد C'!K22</f>
        <v>3546435100</v>
      </c>
      <c r="L9" s="144">
        <f>'گردش توليد و مواد ( A)'!L22+'گردش توليد و مواد B'!L22+'گردش توليد و مواد C'!L22</f>
        <v>2610191600</v>
      </c>
      <c r="M9" s="144">
        <f>'گردش توليد و مواد ( A)'!M22+'گردش توليد و مواد B'!M22+'گردش توليد و مواد C'!M22</f>
        <v>2610191600</v>
      </c>
      <c r="N9" s="144">
        <f>'گردش توليد و مواد ( A)'!N22+'گردش توليد و مواد B'!N22+'گردش توليد و مواد C'!N22</f>
        <v>2610191600</v>
      </c>
      <c r="O9" s="144">
        <f>'گردش توليد و مواد ( A)'!O22+'گردش توليد و مواد B'!O22+'گردش توليد و مواد C'!O22</f>
        <v>2752131600</v>
      </c>
      <c r="P9" s="144">
        <f>'گردش توليد و مواد ( A)'!P22+'گردش توليد و مواد B'!P22+'گردش توليد و مواد C'!P22</f>
        <v>2252176000</v>
      </c>
      <c r="Q9" s="734"/>
    </row>
    <row r="10" spans="3:17" ht="7.5" customHeight="1" thickTop="1" thickBot="1">
      <c r="C10" s="145"/>
      <c r="D10" s="146"/>
      <c r="E10" s="146"/>
      <c r="F10" s="146"/>
      <c r="G10" s="146"/>
      <c r="H10" s="146"/>
      <c r="I10" s="146"/>
      <c r="J10" s="146"/>
      <c r="K10" s="146"/>
      <c r="L10" s="146"/>
      <c r="M10" s="146"/>
      <c r="N10" s="146"/>
      <c r="O10" s="146"/>
      <c r="P10" s="146"/>
      <c r="Q10" s="147"/>
    </row>
    <row r="11" spans="3:17" ht="24.75" thickTop="1" thickBot="1">
      <c r="C11" s="144">
        <f>'گردش توليد و مواد ( A)'!C24+'گردش توليد و مواد B'!C24+'گردش توليد و مواد C'!C24</f>
        <v>0</v>
      </c>
      <c r="D11" s="144">
        <f>'گردش توليد و مواد ( A)'!D24+'گردش توليد و مواد B'!D24+'گردش توليد و مواد C'!D24</f>
        <v>2252176000</v>
      </c>
      <c r="E11" s="144">
        <f>'گردش توليد و مواد ( A)'!E24+'گردش توليد و مواد B'!E24+'گردش توليد و مواد C'!E24</f>
        <v>0</v>
      </c>
      <c r="F11" s="144">
        <f>'گردش توليد و مواد ( A)'!F24+'گردش توليد و مواد B'!F24+'گردش توليد و مواد C'!F24</f>
        <v>0</v>
      </c>
      <c r="G11" s="144">
        <f>'گردش توليد و مواد ( A)'!G24+'گردش توليد و مواد B'!G24+'گردش توليد و مواد C'!G24</f>
        <v>0</v>
      </c>
      <c r="H11" s="144">
        <f>'گردش توليد و مواد ( A)'!H24+'گردش توليد و مواد B'!H24+'گردش توليد و مواد C'!H24</f>
        <v>0</v>
      </c>
      <c r="I11" s="144">
        <f>'گردش توليد و مواد ( A)'!I24+'گردش توليد و مواد B'!I24+'گردش توليد و مواد C'!I24</f>
        <v>0</v>
      </c>
      <c r="J11" s="144">
        <f>'گردش توليد و مواد ( A)'!J24+'گردش توليد و مواد B'!J24+'گردش توليد و مواد C'!J24</f>
        <v>0</v>
      </c>
      <c r="K11" s="144">
        <f>'گردش توليد و مواد ( A)'!K24+'گردش توليد و مواد B'!K24+'گردش توليد و مواد C'!K24</f>
        <v>0</v>
      </c>
      <c r="L11" s="144">
        <f>'گردش توليد و مواد ( A)'!L24+'گردش توليد و مواد B'!L24+'گردش توليد و مواد C'!L24</f>
        <v>0</v>
      </c>
      <c r="M11" s="144">
        <f>'گردش توليد و مواد ( A)'!M24+'گردش توليد و مواد B'!M24+'گردش توليد و مواد C'!M24</f>
        <v>0</v>
      </c>
      <c r="N11" s="144">
        <f>'گردش توليد و مواد ( A)'!N24+'گردش توليد و مواد B'!N24+'گردش توليد و مواد C'!N24</f>
        <v>0</v>
      </c>
      <c r="O11" s="144">
        <f>'گردش توليد و مواد ( A)'!O24+'گردش توليد و مواد B'!O24+'گردش توليد و مواد C'!O24</f>
        <v>1126088000</v>
      </c>
      <c r="P11" s="144">
        <f>'گردش توليد و مواد ( A)'!P24+'گردش توليد و مواد B'!P24+'گردش توليد و مواد C'!P24</f>
        <v>1126088000</v>
      </c>
      <c r="Q11" s="222" t="s">
        <v>267</v>
      </c>
    </row>
    <row r="12" spans="3:17" ht="24.75" thickTop="1" thickBot="1">
      <c r="C12" s="144">
        <f>'گردش توليد و مواد ( A)'!C25+'گردش توليد و مواد B'!C25+'گردش توليد و مواد C'!C25</f>
        <v>0</v>
      </c>
      <c r="D12" s="144">
        <f>'گردش توليد و مواد ( A)'!D25+'گردش توليد و مواد B'!D25+'گردش توليد و مواد C'!D25</f>
        <v>2752131600</v>
      </c>
      <c r="E12" s="144">
        <f>'گردش توليد و مواد ( A)'!E25+'گردش توليد و مواد B'!E25+'گردش توليد و مواد C'!E25</f>
        <v>0</v>
      </c>
      <c r="F12" s="144">
        <f>'گردش توليد و مواد ( A)'!F25+'گردش توليد و مواد B'!F25+'گردش توليد و مواد C'!F25</f>
        <v>0</v>
      </c>
      <c r="G12" s="144">
        <f>'گردش توليد و مواد ( A)'!G25+'گردش توليد و مواد B'!G25+'گردش توليد و مواد C'!G25</f>
        <v>0</v>
      </c>
      <c r="H12" s="144">
        <f>'گردش توليد و مواد ( A)'!H25+'گردش توليد و مواد B'!H25+'گردش توليد و مواد C'!H25</f>
        <v>0</v>
      </c>
      <c r="I12" s="144">
        <f>'گردش توليد و مواد ( A)'!I25+'گردش توليد و مواد B'!I25+'گردش توليد و مواد C'!I25</f>
        <v>0</v>
      </c>
      <c r="J12" s="144">
        <f>'گردش توليد و مواد ( A)'!J25+'گردش توليد و مواد B'!J25+'گردش توليد و مواد C'!J25</f>
        <v>0</v>
      </c>
      <c r="K12" s="144">
        <f>'گردش توليد و مواد ( A)'!K25+'گردش توليد و مواد B'!K25+'گردش توليد و مواد C'!K25</f>
        <v>0</v>
      </c>
      <c r="L12" s="144">
        <f>'گردش توليد و مواد ( A)'!L25+'گردش توليد و مواد B'!L25+'گردش توليد و مواد C'!L25</f>
        <v>0</v>
      </c>
      <c r="M12" s="144">
        <f>'گردش توليد و مواد ( A)'!M25+'گردش توليد و مواد B'!M25+'گردش توليد و مواد C'!M25</f>
        <v>0</v>
      </c>
      <c r="N12" s="144">
        <f>'گردش توليد و مواد ( A)'!N25+'گردش توليد و مواد B'!N25+'گردش توليد و مواد C'!N25</f>
        <v>1376065800</v>
      </c>
      <c r="O12" s="144">
        <f>'گردش توليد و مواد ( A)'!O25+'گردش توليد و مواد B'!O25+'گردش توليد و مواد C'!O25</f>
        <v>1376065800</v>
      </c>
      <c r="P12" s="144">
        <f>'گردش توليد و مواد ( A)'!P25+'گردش توليد و مواد B'!P25+'گردش توليد و مواد C'!P25</f>
        <v>0</v>
      </c>
      <c r="Q12" s="222" t="s">
        <v>268</v>
      </c>
    </row>
    <row r="13" spans="3:17" ht="24.75" thickTop="1" thickBot="1">
      <c r="C13" s="144">
        <f>'گردش توليد و مواد ( A)'!C26+'گردش توليد و مواد B'!C26+'گردش توليد و مواد C'!C26</f>
        <v>0</v>
      </c>
      <c r="D13" s="144">
        <f>'گردش توليد و مواد ( A)'!D26+'گردش توليد و مواد B'!D26+'گردش توليد و مواد C'!D26</f>
        <v>2610191600</v>
      </c>
      <c r="E13" s="144">
        <f>'گردش توليد و مواد ( A)'!E26+'گردش توليد و مواد B'!E26+'گردش توليد و مواد C'!E26</f>
        <v>0</v>
      </c>
      <c r="F13" s="144">
        <f>'گردش توليد و مواد ( A)'!F26+'گردش توليد و مواد B'!F26+'گردش توليد و مواد C'!F26</f>
        <v>0</v>
      </c>
      <c r="G13" s="144">
        <f>'گردش توليد و مواد ( A)'!G26+'گردش توليد و مواد B'!G26+'گردش توليد و مواد C'!G26</f>
        <v>0</v>
      </c>
      <c r="H13" s="144">
        <f>'گردش توليد و مواد ( A)'!H26+'گردش توليد و مواد B'!H26+'گردش توليد و مواد C'!H26</f>
        <v>0</v>
      </c>
      <c r="I13" s="144">
        <f>'گردش توليد و مواد ( A)'!I26+'گردش توليد و مواد B'!I26+'گردش توليد و مواد C'!I26</f>
        <v>0</v>
      </c>
      <c r="J13" s="144">
        <f>'گردش توليد و مواد ( A)'!J26+'گردش توليد و مواد B'!J26+'گردش توليد و مواد C'!J26</f>
        <v>0</v>
      </c>
      <c r="K13" s="144">
        <f>'گردش توليد و مواد ( A)'!K26+'گردش توليد و مواد B'!K26+'گردش توليد و مواد C'!K26</f>
        <v>0</v>
      </c>
      <c r="L13" s="144">
        <f>'گردش توليد و مواد ( A)'!L26+'گردش توليد و مواد B'!L26+'گردش توليد و مواد C'!L26</f>
        <v>0</v>
      </c>
      <c r="M13" s="144">
        <f>'گردش توليد و مواد ( A)'!M26+'گردش توليد و مواد B'!M26+'گردش توليد و مواد C'!M26</f>
        <v>1305095800</v>
      </c>
      <c r="N13" s="144">
        <f>'گردش توليد و مواد ( A)'!N26+'گردش توليد و مواد B'!N26+'گردش توليد و مواد C'!N26</f>
        <v>1305095800</v>
      </c>
      <c r="O13" s="144">
        <f>'گردش توليد و مواد ( A)'!O26+'گردش توليد و مواد B'!O26+'گردش توليد و مواد C'!O26</f>
        <v>0</v>
      </c>
      <c r="P13" s="144">
        <f>'گردش توليد و مواد ( A)'!P26+'گردش توليد و مواد B'!P26+'گردش توليد و مواد C'!P26</f>
        <v>0</v>
      </c>
      <c r="Q13" s="222" t="s">
        <v>269</v>
      </c>
    </row>
    <row r="14" spans="3:17" ht="24.75" thickTop="1" thickBot="1">
      <c r="C14" s="144">
        <f>'گردش توليد و مواد ( A)'!C27+'گردش توليد و مواد B'!C27+'گردش توليد و مواد C'!C27</f>
        <v>0</v>
      </c>
      <c r="D14" s="144">
        <f>'گردش توليد و مواد ( A)'!D27+'گردش توليد و مواد B'!D27+'گردش توليد و مواد C'!D27</f>
        <v>2610191600</v>
      </c>
      <c r="E14" s="144">
        <f>'گردش توليد و مواد ( A)'!E27+'گردش توليد و مواد B'!E27+'گردش توليد و مواد C'!E27</f>
        <v>0</v>
      </c>
      <c r="F14" s="144">
        <f>'گردش توليد و مواد ( A)'!F27+'گردش توليد و مواد B'!F27+'گردش توليد و مواد C'!F27</f>
        <v>0</v>
      </c>
      <c r="G14" s="144">
        <f>'گردش توليد و مواد ( A)'!G27+'گردش توليد و مواد B'!G27+'گردش توليد و مواد C'!G27</f>
        <v>0</v>
      </c>
      <c r="H14" s="144">
        <f>'گردش توليد و مواد ( A)'!H27+'گردش توليد و مواد B'!H27+'گردش توليد و مواد C'!H27</f>
        <v>0</v>
      </c>
      <c r="I14" s="144">
        <f>'گردش توليد و مواد ( A)'!I27+'گردش توليد و مواد B'!I27+'گردش توليد و مواد C'!I27</f>
        <v>0</v>
      </c>
      <c r="J14" s="144">
        <f>'گردش توليد و مواد ( A)'!J27+'گردش توليد و مواد B'!J27+'گردش توليد و مواد C'!J27</f>
        <v>0</v>
      </c>
      <c r="K14" s="144">
        <f>'گردش توليد و مواد ( A)'!K27+'گردش توليد و مواد B'!K27+'گردش توليد و مواد C'!K27</f>
        <v>0</v>
      </c>
      <c r="L14" s="144">
        <f>'گردش توليد و مواد ( A)'!L27+'گردش توليد و مواد B'!L27+'گردش توليد و مواد C'!L27</f>
        <v>1305095800</v>
      </c>
      <c r="M14" s="144">
        <f>'گردش توليد و مواد ( A)'!M27+'گردش توليد و مواد B'!M27+'گردش توليد و مواد C'!M27</f>
        <v>1305095800</v>
      </c>
      <c r="N14" s="144">
        <f>'گردش توليد و مواد ( A)'!N27+'گردش توليد و مواد B'!N27+'گردش توليد و مواد C'!N27</f>
        <v>0</v>
      </c>
      <c r="O14" s="144">
        <f>'گردش توليد و مواد ( A)'!O27+'گردش توليد و مواد B'!O27+'گردش توليد و مواد C'!O27</f>
        <v>0</v>
      </c>
      <c r="P14" s="144">
        <f>'گردش توليد و مواد ( A)'!P27+'گردش توليد و مواد B'!P27+'گردش توليد و مواد C'!P27</f>
        <v>0</v>
      </c>
      <c r="Q14" s="222" t="s">
        <v>270</v>
      </c>
    </row>
    <row r="15" spans="3:17" ht="24.75" thickTop="1" thickBot="1">
      <c r="C15" s="144">
        <f>'گردش توليد و مواد ( A)'!C28+'گردش توليد و مواد B'!C28+'گردش توليد و مواد C'!C28</f>
        <v>0</v>
      </c>
      <c r="D15" s="144">
        <f>'گردش توليد و مواد ( A)'!D28+'گردش توليد و مواد B'!D28+'گردش توليد و مواد C'!D28</f>
        <v>2610191600</v>
      </c>
      <c r="E15" s="144">
        <f>'گردش توليد و مواد ( A)'!E28+'گردش توليد و مواد B'!E28+'گردش توليد و مواد C'!E28</f>
        <v>0</v>
      </c>
      <c r="F15" s="144">
        <f>'گردش توليد و مواد ( A)'!F28+'گردش توليد و مواد B'!F28+'گردش توليد و مواد C'!F28</f>
        <v>0</v>
      </c>
      <c r="G15" s="144">
        <f>'گردش توليد و مواد ( A)'!G28+'گردش توليد و مواد B'!G28+'گردش توليد و مواد C'!G28</f>
        <v>0</v>
      </c>
      <c r="H15" s="144">
        <f>'گردش توليد و مواد ( A)'!H28+'گردش توليد و مواد B'!H28+'گردش توليد و مواد C'!H28</f>
        <v>0</v>
      </c>
      <c r="I15" s="144">
        <f>'گردش توليد و مواد ( A)'!I28+'گردش توليد و مواد B'!I28+'گردش توليد و مواد C'!I28</f>
        <v>0</v>
      </c>
      <c r="J15" s="144">
        <f>'گردش توليد و مواد ( A)'!J28+'گردش توليد و مواد B'!J28+'گردش توليد و مواد C'!J28</f>
        <v>0</v>
      </c>
      <c r="K15" s="144">
        <f>'گردش توليد و مواد ( A)'!K28+'گردش توليد و مواد B'!K28+'گردش توليد و مواد C'!K28</f>
        <v>1305095800</v>
      </c>
      <c r="L15" s="144">
        <f>'گردش توليد و مواد ( A)'!L28+'گردش توليد و مواد B'!L28+'گردش توليد و مواد C'!L28</f>
        <v>1305095800</v>
      </c>
      <c r="M15" s="144">
        <f>'گردش توليد و مواد ( A)'!M28+'گردش توليد و مواد B'!M28+'گردش توليد و مواد C'!M28</f>
        <v>0</v>
      </c>
      <c r="N15" s="144">
        <f>'گردش توليد و مواد ( A)'!N28+'گردش توليد و مواد B'!N28+'گردش توليد و مواد C'!N28</f>
        <v>0</v>
      </c>
      <c r="O15" s="144">
        <f>'گردش توليد و مواد ( A)'!O28+'گردش توليد و مواد B'!O28+'گردش توليد و مواد C'!O28</f>
        <v>0</v>
      </c>
      <c r="P15" s="144">
        <f>'گردش توليد و مواد ( A)'!P28+'گردش توليد و مواد B'!P28+'گردش توليد و مواد C'!P28</f>
        <v>0</v>
      </c>
      <c r="Q15" s="222" t="s">
        <v>271</v>
      </c>
    </row>
    <row r="16" spans="3:17" ht="24.75" thickTop="1" thickBot="1">
      <c r="C16" s="144">
        <f>'گردش توليد و مواد ( A)'!C29+'گردش توليد و مواد B'!C29+'گردش توليد و مواد C'!C29</f>
        <v>0</v>
      </c>
      <c r="D16" s="144">
        <f>'گردش توليد و مواد ( A)'!D29+'گردش توليد و مواد B'!D29+'گردش توليد و مواد C'!D29</f>
        <v>3546435100</v>
      </c>
      <c r="E16" s="144">
        <f>'گردش توليد و مواد ( A)'!E29+'گردش توليد و مواد B'!E29+'گردش توليد و مواد C'!E29</f>
        <v>0</v>
      </c>
      <c r="F16" s="144">
        <f>'گردش توليد و مواد ( A)'!F29+'گردش توليد و مواد B'!F29+'گردش توليد و مواد C'!F29</f>
        <v>0</v>
      </c>
      <c r="G16" s="144">
        <f>'گردش توليد و مواد ( A)'!G29+'گردش توليد و مواد B'!G29+'گردش توليد و مواد C'!G29</f>
        <v>0</v>
      </c>
      <c r="H16" s="144">
        <f>'گردش توليد و مواد ( A)'!H29+'گردش توليد و مواد B'!H29+'گردش توليد و مواد C'!H29</f>
        <v>0</v>
      </c>
      <c r="I16" s="144">
        <f>'گردش توليد و مواد ( A)'!I29+'گردش توليد و مواد B'!I29+'گردش توليد و مواد C'!I29</f>
        <v>0</v>
      </c>
      <c r="J16" s="144">
        <f>'گردش توليد و مواد ( A)'!J29+'گردش توليد و مواد B'!J29+'گردش توليد و مواد C'!J29</f>
        <v>1773217550</v>
      </c>
      <c r="K16" s="144">
        <f>'گردش توليد و مواد ( A)'!K29+'گردش توليد و مواد B'!K29+'گردش توليد و مواد C'!K29</f>
        <v>1773217550</v>
      </c>
      <c r="L16" s="144">
        <f>'گردش توليد و مواد ( A)'!L29+'گردش توليد و مواد B'!L29+'گردش توليد و مواد C'!L29</f>
        <v>0</v>
      </c>
      <c r="M16" s="144">
        <f>'گردش توليد و مواد ( A)'!M29+'گردش توليد و مواد B'!M29+'گردش توليد و مواد C'!M29</f>
        <v>0</v>
      </c>
      <c r="N16" s="144">
        <f>'گردش توليد و مواد ( A)'!N29+'گردش توليد و مواد B'!N29+'گردش توليد و مواد C'!N29</f>
        <v>0</v>
      </c>
      <c r="O16" s="144">
        <f>'گردش توليد و مواد ( A)'!O29+'گردش توليد و مواد B'!O29+'گردش توليد و مواد C'!O29</f>
        <v>0</v>
      </c>
      <c r="P16" s="144">
        <f>'گردش توليد و مواد ( A)'!P29+'گردش توليد و مواد B'!P29+'گردش توليد و مواد C'!P29</f>
        <v>0</v>
      </c>
      <c r="Q16" s="222" t="s">
        <v>272</v>
      </c>
    </row>
    <row r="17" spans="3:17" ht="24.75" thickTop="1" thickBot="1">
      <c r="C17" s="144">
        <f>'گردش توليد و مواد ( A)'!C30+'گردش توليد و مواد B'!C30+'گردش توليد و مواد C'!C30</f>
        <v>0</v>
      </c>
      <c r="D17" s="144">
        <f>'گردش توليد و مواد ( A)'!D30+'گردش توليد و مواد B'!D30+'گردش توليد و مواد C'!D30</f>
        <v>5206283200</v>
      </c>
      <c r="E17" s="144">
        <f>'گردش توليد و مواد ( A)'!E30+'گردش توليد و مواد B'!E30+'گردش توليد و مواد C'!E30</f>
        <v>0</v>
      </c>
      <c r="F17" s="144">
        <f>'گردش توليد و مواد ( A)'!F30+'گردش توليد و مواد B'!F30+'گردش توليد و مواد C'!F30</f>
        <v>0</v>
      </c>
      <c r="G17" s="144">
        <f>'گردش توليد و مواد ( A)'!G30+'گردش توليد و مواد B'!G30+'گردش توليد و مواد C'!G30</f>
        <v>0</v>
      </c>
      <c r="H17" s="144">
        <f>'گردش توليد و مواد ( A)'!H30+'گردش توليد و مواد B'!H30+'گردش توليد و مواد C'!H30</f>
        <v>0</v>
      </c>
      <c r="I17" s="144">
        <f>'گردش توليد و مواد ( A)'!I30+'گردش توليد و مواد B'!I30+'گردش توليد و مواد C'!I30</f>
        <v>2603141600</v>
      </c>
      <c r="J17" s="144">
        <f>'گردش توليد و مواد ( A)'!J30+'گردش توليد و مواد B'!J30+'گردش توليد و مواد C'!J30</f>
        <v>2603141600</v>
      </c>
      <c r="K17" s="144">
        <f>'گردش توليد و مواد ( A)'!K30+'گردش توليد و مواد B'!K30+'گردش توليد و مواد C'!K30</f>
        <v>0</v>
      </c>
      <c r="L17" s="144">
        <f>'گردش توليد و مواد ( A)'!L30+'گردش توليد و مواد B'!L30+'گردش توليد و مواد C'!L30</f>
        <v>0</v>
      </c>
      <c r="M17" s="144">
        <f>'گردش توليد و مواد ( A)'!M30+'گردش توليد و مواد B'!M30+'گردش توليد و مواد C'!M30</f>
        <v>0</v>
      </c>
      <c r="N17" s="144">
        <f>'گردش توليد و مواد ( A)'!N30+'گردش توليد و مواد B'!N30+'گردش توليد و مواد C'!N30</f>
        <v>0</v>
      </c>
      <c r="O17" s="144">
        <f>'گردش توليد و مواد ( A)'!O30+'گردش توليد و مواد B'!O30+'گردش توليد و مواد C'!O30</f>
        <v>0</v>
      </c>
      <c r="P17" s="144">
        <f>'گردش توليد و مواد ( A)'!P30+'گردش توليد و مواد B'!P30+'گردش توليد و مواد C'!P30</f>
        <v>0</v>
      </c>
      <c r="Q17" s="222" t="s">
        <v>273</v>
      </c>
    </row>
    <row r="18" spans="3:17" ht="24.75" thickTop="1" thickBot="1">
      <c r="C18" s="144">
        <f>'گردش توليد و مواد ( A)'!C31+'گردش توليد و مواد B'!C31+'گردش توليد و مواد C'!C31</f>
        <v>0</v>
      </c>
      <c r="D18" s="144">
        <f>'گردش توليد و مواد ( A)'!D31+'گردش توليد و مواد B'!D31+'گردش توليد و مواد C'!D31</f>
        <v>3439081000</v>
      </c>
      <c r="E18" s="144">
        <f>'گردش توليد و مواد ( A)'!E31+'گردش توليد و مواد B'!E31+'گردش توليد و مواد C'!E31</f>
        <v>0</v>
      </c>
      <c r="F18" s="144">
        <f>'گردش توليد و مواد ( A)'!F31+'گردش توليد و مواد B'!F31+'گردش توليد و مواد C'!F31</f>
        <v>0</v>
      </c>
      <c r="G18" s="144">
        <f>'گردش توليد و مواد ( A)'!G31+'گردش توليد و مواد B'!G31+'گردش توليد و مواد C'!G31</f>
        <v>0</v>
      </c>
      <c r="H18" s="144">
        <f>'گردش توليد و مواد ( A)'!H31+'گردش توليد و مواد B'!H31+'گردش توليد و مواد C'!H31</f>
        <v>1719540500</v>
      </c>
      <c r="I18" s="144">
        <f>'گردش توليد و مواد ( A)'!I31+'گردش توليد و مواد B'!I31+'گردش توليد و مواد C'!I31</f>
        <v>1719540500</v>
      </c>
      <c r="J18" s="144">
        <f>'گردش توليد و مواد ( A)'!J31+'گردش توليد و مواد B'!J31+'گردش توليد و مواد C'!J31</f>
        <v>0</v>
      </c>
      <c r="K18" s="144">
        <f>'گردش توليد و مواد ( A)'!K31+'گردش توليد و مواد B'!K31+'گردش توليد و مواد C'!K31</f>
        <v>0</v>
      </c>
      <c r="L18" s="144">
        <f>'گردش توليد و مواد ( A)'!L31+'گردش توليد و مواد B'!L31+'گردش توليد و مواد C'!L31</f>
        <v>0</v>
      </c>
      <c r="M18" s="144">
        <f>'گردش توليد و مواد ( A)'!M31+'گردش توليد و مواد B'!M31+'گردش توليد و مواد C'!M31</f>
        <v>0</v>
      </c>
      <c r="N18" s="144">
        <f>'گردش توليد و مواد ( A)'!N31+'گردش توليد و مواد B'!N31+'گردش توليد و مواد C'!N31</f>
        <v>0</v>
      </c>
      <c r="O18" s="144">
        <f>'گردش توليد و مواد ( A)'!O31+'گردش توليد و مواد B'!O31+'گردش توليد و مواد C'!O31</f>
        <v>0</v>
      </c>
      <c r="P18" s="144">
        <f>'گردش توليد و مواد ( A)'!P31+'گردش توليد و مواد B'!P31+'گردش توليد و مواد C'!P31</f>
        <v>0</v>
      </c>
      <c r="Q18" s="222" t="s">
        <v>274</v>
      </c>
    </row>
    <row r="19" spans="3:17" ht="24.75" thickTop="1" thickBot="1">
      <c r="C19" s="144">
        <f>'گردش توليد و مواد ( A)'!C32+'گردش توليد و مواد B'!C32+'گردش توليد و مواد C'!C32</f>
        <v>0</v>
      </c>
      <c r="D19" s="144">
        <f>'گردش توليد و مواد ( A)'!D32+'گردش توليد و مواد B'!D32+'گردش توليد و مواد C'!D32</f>
        <v>3817801000</v>
      </c>
      <c r="E19" s="144">
        <f>'گردش توليد و مواد ( A)'!E32+'گردش توليد و مواد B'!E32+'گردش توليد و مواد C'!E32</f>
        <v>0</v>
      </c>
      <c r="F19" s="144">
        <f>'گردش توليد و مواد ( A)'!F32+'گردش توليد و مواد B'!F32+'گردش توليد و مواد C'!F32</f>
        <v>0</v>
      </c>
      <c r="G19" s="144">
        <f>'گردش توليد و مواد ( A)'!G32+'گردش توليد و مواد B'!G32+'گردش توليد و مواد C'!G32</f>
        <v>1908900500</v>
      </c>
      <c r="H19" s="144">
        <f>'گردش توليد و مواد ( A)'!H32+'گردش توليد و مواد B'!H32+'گردش توليد و مواد C'!H32</f>
        <v>1908900500</v>
      </c>
      <c r="I19" s="144">
        <f>'گردش توليد و مواد ( A)'!I32+'گردش توليد و مواد B'!I32+'گردش توليد و مواد C'!I32</f>
        <v>0</v>
      </c>
      <c r="J19" s="144">
        <f>'گردش توليد و مواد ( A)'!J32+'گردش توليد و مواد B'!J32+'گردش توليد و مواد C'!J32</f>
        <v>0</v>
      </c>
      <c r="K19" s="144">
        <f>'گردش توليد و مواد ( A)'!K32+'گردش توليد و مواد B'!K32+'گردش توليد و مواد C'!K32</f>
        <v>0</v>
      </c>
      <c r="L19" s="144">
        <f>'گردش توليد و مواد ( A)'!L32+'گردش توليد و مواد B'!L32+'گردش توليد و مواد C'!L32</f>
        <v>0</v>
      </c>
      <c r="M19" s="144">
        <f>'گردش توليد و مواد ( A)'!M32+'گردش توليد و مواد B'!M32+'گردش توليد و مواد C'!M32</f>
        <v>0</v>
      </c>
      <c r="N19" s="144">
        <f>'گردش توليد و مواد ( A)'!N32+'گردش توليد و مواد B'!N32+'گردش توليد و مواد C'!N32</f>
        <v>0</v>
      </c>
      <c r="O19" s="144">
        <f>'گردش توليد و مواد ( A)'!O32+'گردش توليد و مواد B'!O32+'گردش توليد و مواد C'!O32</f>
        <v>0</v>
      </c>
      <c r="P19" s="144">
        <f>'گردش توليد و مواد ( A)'!P32+'گردش توليد و مواد B'!P32+'گردش توليد و مواد C'!P32</f>
        <v>0</v>
      </c>
      <c r="Q19" s="222" t="s">
        <v>275</v>
      </c>
    </row>
    <row r="20" spans="3:17" ht="24.75" thickTop="1" thickBot="1">
      <c r="C20" s="144">
        <f>'گردش توليد و مواد ( A)'!C33+'گردش توليد و مواد B'!C33+'گردش توليد و مواد C'!C33</f>
        <v>0</v>
      </c>
      <c r="D20" s="144">
        <f>'گردش توليد و مواد ( A)'!D33+'گردش توليد و مواد B'!D33+'گردش توليد و مواد C'!D33</f>
        <v>4672761400.000001</v>
      </c>
      <c r="E20" s="144">
        <f>'گردش توليد و مواد ( A)'!E33+'گردش توليد و مواد B'!E33+'گردش توليد و مواد C'!E33</f>
        <v>0</v>
      </c>
      <c r="F20" s="144">
        <f>'گردش توليد و مواد ( A)'!F33+'گردش توليد و مواد B'!F33+'گردش توليد و مواد C'!F33</f>
        <v>2336380700.0000005</v>
      </c>
      <c r="G20" s="144">
        <f>'گردش توليد و مواد ( A)'!G33+'گردش توليد و مواد B'!G33+'گردش توليد و مواد C'!G33</f>
        <v>2336380700.0000005</v>
      </c>
      <c r="H20" s="144">
        <f>'گردش توليد و مواد ( A)'!H33+'گردش توليد و مواد B'!H33+'گردش توليد و مواد C'!H33</f>
        <v>0</v>
      </c>
      <c r="I20" s="144">
        <f>'گردش توليد و مواد ( A)'!I33+'گردش توليد و مواد B'!I33+'گردش توليد و مواد C'!I33</f>
        <v>0</v>
      </c>
      <c r="J20" s="144">
        <f>'گردش توليد و مواد ( A)'!J33+'گردش توليد و مواد B'!J33+'گردش توليد و مواد C'!J33</f>
        <v>0</v>
      </c>
      <c r="K20" s="144">
        <f>'گردش توليد و مواد ( A)'!K33+'گردش توليد و مواد B'!K33+'گردش توليد و مواد C'!K33</f>
        <v>0</v>
      </c>
      <c r="L20" s="144">
        <f>'گردش توليد و مواد ( A)'!L33+'گردش توليد و مواد B'!L33+'گردش توليد و مواد C'!L33</f>
        <v>0</v>
      </c>
      <c r="M20" s="144">
        <f>'گردش توليد و مواد ( A)'!M33+'گردش توليد و مواد B'!M33+'گردش توليد و مواد C'!M33</f>
        <v>0</v>
      </c>
      <c r="N20" s="144">
        <f>'گردش توليد و مواد ( A)'!N33+'گردش توليد و مواد B'!N33+'گردش توليد و مواد C'!N33</f>
        <v>0</v>
      </c>
      <c r="O20" s="144">
        <f>'گردش توليد و مواد ( A)'!O33+'گردش توليد و مواد B'!O33+'گردش توليد و مواد C'!O33</f>
        <v>0</v>
      </c>
      <c r="P20" s="144">
        <f>'گردش توليد و مواد ( A)'!P33+'گردش توليد و مواد B'!P33+'گردش توليد و مواد C'!P33</f>
        <v>0</v>
      </c>
      <c r="Q20" s="222" t="s">
        <v>276</v>
      </c>
    </row>
    <row r="21" spans="3:17" ht="24.75" thickTop="1" thickBot="1">
      <c r="C21" s="144">
        <f>'گردش توليد و مواد ( A)'!C34+'گردش توليد و مواد B'!C34+'گردش توليد و مواد C'!C34</f>
        <v>0</v>
      </c>
      <c r="D21" s="144">
        <f>'گردش توليد و مواد ( A)'!D34+'گردش توليد و مواد B'!D34+'گردش توليد و مواد C'!D34</f>
        <v>4863699400</v>
      </c>
      <c r="E21" s="144">
        <f>'گردش توليد و مواد ( A)'!E34+'گردش توليد و مواد B'!E34+'گردش توليد و مواد C'!E34</f>
        <v>2431849700</v>
      </c>
      <c r="F21" s="144">
        <f>'گردش توليد و مواد ( A)'!F34+'گردش توليد و مواد B'!F34+'گردش توليد و مواد C'!F34</f>
        <v>2431849700</v>
      </c>
      <c r="G21" s="144">
        <f>'گردش توليد و مواد ( A)'!G34+'گردش توليد و مواد B'!G34+'گردش توليد و مواد C'!G34</f>
        <v>0</v>
      </c>
      <c r="H21" s="144">
        <f>'گردش توليد و مواد ( A)'!H34+'گردش توليد و مواد B'!H34+'گردش توليد و مواد C'!H34</f>
        <v>0</v>
      </c>
      <c r="I21" s="144">
        <f>'گردش توليد و مواد ( A)'!I34+'گردش توليد و مواد B'!I34+'گردش توليد و مواد C'!I34</f>
        <v>0</v>
      </c>
      <c r="J21" s="144">
        <f>'گردش توليد و مواد ( A)'!J34+'گردش توليد و مواد B'!J34+'گردش توليد و مواد C'!J34</f>
        <v>0</v>
      </c>
      <c r="K21" s="144">
        <f>'گردش توليد و مواد ( A)'!K34+'گردش توليد و مواد B'!K34+'گردش توليد و مواد C'!K34</f>
        <v>0</v>
      </c>
      <c r="L21" s="144">
        <f>'گردش توليد و مواد ( A)'!L34+'گردش توليد و مواد B'!L34+'گردش توليد و مواد C'!L34</f>
        <v>0</v>
      </c>
      <c r="M21" s="144">
        <f>'گردش توليد و مواد ( A)'!M34+'گردش توليد و مواد B'!M34+'گردش توليد و مواد C'!M34</f>
        <v>0</v>
      </c>
      <c r="N21" s="144">
        <f>'گردش توليد و مواد ( A)'!N34+'گردش توليد و مواد B'!N34+'گردش توليد و مواد C'!N34</f>
        <v>0</v>
      </c>
      <c r="O21" s="144">
        <f>'گردش توليد و مواد ( A)'!O34+'گردش توليد و مواد B'!O34+'گردش توليد و مواد C'!O34</f>
        <v>0</v>
      </c>
      <c r="P21" s="144">
        <f>'گردش توليد و مواد ( A)'!P34+'گردش توليد و مواد B'!P34+'گردش توليد و مواد C'!P34</f>
        <v>0</v>
      </c>
      <c r="Q21" s="222" t="s">
        <v>277</v>
      </c>
    </row>
    <row r="22" spans="3:17" ht="24.75" thickTop="1" thickBot="1">
      <c r="C22" s="144">
        <f>'گردش توليد و مواد ( A)'!C35+'گردش توليد و مواد B'!C35+'گردش توليد و مواد C'!C35</f>
        <v>2162958500</v>
      </c>
      <c r="D22" s="144">
        <f>'گردش توليد و مواد ( A)'!D35+'گردش توليد و مواد B'!D35+'گردش توليد و مواد C'!D35</f>
        <v>2162958500</v>
      </c>
      <c r="E22" s="144">
        <f>'گردش توليد و مواد ( A)'!E35+'گردش توليد و مواد B'!E35+'گردش توليد و مواد C'!E35</f>
        <v>2162958500</v>
      </c>
      <c r="F22" s="144">
        <f>'گردش توليد و مواد ( A)'!F35+'گردش توليد و مواد B'!F35+'گردش توليد و مواد C'!F35</f>
        <v>0</v>
      </c>
      <c r="G22" s="144">
        <f>'گردش توليد و مواد ( A)'!G35+'گردش توليد و مواد B'!G35+'گردش توليد و مواد C'!G35</f>
        <v>0</v>
      </c>
      <c r="H22" s="144">
        <f>'گردش توليد و مواد ( A)'!H35+'گردش توليد و مواد B'!H35+'گردش توليد و مواد C'!H35</f>
        <v>0</v>
      </c>
      <c r="I22" s="144">
        <f>'گردش توليد و مواد ( A)'!I35+'گردش توليد و مواد B'!I35+'گردش توليد و مواد C'!I35</f>
        <v>0</v>
      </c>
      <c r="J22" s="144">
        <f>'گردش توليد و مواد ( A)'!J35+'گردش توليد و مواد B'!J35+'گردش توليد و مواد C'!J35</f>
        <v>0</v>
      </c>
      <c r="K22" s="144">
        <f>'گردش توليد و مواد ( A)'!K35+'گردش توليد و مواد B'!K35+'گردش توليد و مواد C'!K35</f>
        <v>0</v>
      </c>
      <c r="L22" s="144">
        <f>'گردش توليد و مواد ( A)'!L35+'گردش توليد و مواد B'!L35+'گردش توليد و مواد C'!L35</f>
        <v>0</v>
      </c>
      <c r="M22" s="144">
        <f>'گردش توليد و مواد ( A)'!M35+'گردش توليد و مواد B'!M35+'گردش توليد و مواد C'!M35</f>
        <v>0</v>
      </c>
      <c r="N22" s="144">
        <f>'گردش توليد و مواد ( A)'!N35+'گردش توليد و مواد B'!N35+'گردش توليد و مواد C'!N35</f>
        <v>0</v>
      </c>
      <c r="O22" s="144">
        <f>'گردش توليد و مواد ( A)'!O35+'گردش توليد و مواد B'!O35+'گردش توليد و مواد C'!O35</f>
        <v>0</v>
      </c>
      <c r="P22" s="144">
        <f>'گردش توليد و مواد ( A)'!P35+'گردش توليد و مواد B'!P35+'گردش توليد و مواد C'!P35</f>
        <v>0</v>
      </c>
      <c r="Q22" s="222" t="s">
        <v>278</v>
      </c>
    </row>
    <row r="23" spans="3:17" ht="69.75" customHeight="1" thickTop="1" thickBot="1">
      <c r="C23" s="437">
        <f>'گردش توليد و مواد ( A)'!C36+'گردش توليد و مواد B'!C36+'گردش توليد و مواد C'!C36</f>
        <v>2162958500</v>
      </c>
      <c r="D23" s="437">
        <f>'گردش توليد و مواد ( A)'!D36+'گردش توليد و مواد B'!D36+'گردش توليد و مواد C'!D36</f>
        <v>40543902000</v>
      </c>
      <c r="E23" s="437">
        <f>'گردش توليد و مواد ( A)'!E36+'گردش توليد و مواد B'!E36+'گردش توليد و مواد C'!E36</f>
        <v>4594808200</v>
      </c>
      <c r="F23" s="437">
        <f>'گردش توليد و مواد ( A)'!F36+'گردش توليد و مواد B'!F36+'گردش توليد و مواد C'!F36</f>
        <v>4768230400</v>
      </c>
      <c r="G23" s="437">
        <f>'گردش توليد و مواد ( A)'!G36+'گردش توليد و مواد B'!G36+'گردش توليد و مواد C'!G36</f>
        <v>4245281200.0000005</v>
      </c>
      <c r="H23" s="437">
        <f>'گردش توليد و مواد ( A)'!H36+'گردش توليد و مواد B'!H36+'گردش توليد و مواد C'!H36</f>
        <v>3628441000</v>
      </c>
      <c r="I23" s="437">
        <f>'گردش توليد و مواد ( A)'!I36+'گردش توليد و مواد B'!I36+'گردش توليد و مواد C'!I36</f>
        <v>4322682100</v>
      </c>
      <c r="J23" s="437">
        <f>'گردش توليد و مواد ( A)'!J36+'گردش توليد و مواد B'!J36+'گردش توليد و مواد C'!J36</f>
        <v>4376359150</v>
      </c>
      <c r="K23" s="437">
        <f>'گردش توليد و مواد ( A)'!K36+'گردش توليد و مواد B'!K36+'گردش توليد و مواد C'!K36</f>
        <v>3078313350</v>
      </c>
      <c r="L23" s="437">
        <f>'گردش توليد و مواد ( A)'!L36+'گردش توليد و مواد B'!L36+'گردش توليد و مواد C'!L36</f>
        <v>2610191600</v>
      </c>
      <c r="M23" s="437">
        <f>'گردش توليد و مواد ( A)'!M36+'گردش توليد و مواد B'!M36+'گردش توليد و مواد C'!M36</f>
        <v>2610191600</v>
      </c>
      <c r="N23" s="437">
        <f>'گردش توليد و مواد ( A)'!N36+'گردش توليد و مواد B'!N36+'گردش توليد و مواد C'!N36</f>
        <v>2681161600</v>
      </c>
      <c r="O23" s="437">
        <f>'گردش توليد و مواد ( A)'!O36+'گردش توليد و مواد B'!O36+'گردش توليد و مواد C'!O36</f>
        <v>2502153800</v>
      </c>
      <c r="P23" s="437">
        <f>'گردش توليد و مواد ( A)'!P36+'گردش توليد و مواد B'!P36+'گردش توليد و مواد C'!P36</f>
        <v>1126088000</v>
      </c>
      <c r="Q23" s="438" t="s">
        <v>264</v>
      </c>
    </row>
    <row r="24" spans="3:17" ht="16.5" thickTop="1">
      <c r="C24" s="544" t="s">
        <v>801</v>
      </c>
    </row>
  </sheetData>
  <mergeCells count="3">
    <mergeCell ref="C8:C9"/>
    <mergeCell ref="Q8:Q9"/>
    <mergeCell ref="P4:Q4"/>
  </mergeCells>
  <hyperlinks>
    <hyperlink ref="P4:Q4" r:id="rId1" location="'فهرست مطالب'!A1" display="جدول نقدینگی - جریانات پرداخت خرید طی سال بودجه 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>
  <dimension ref="A1:O92"/>
  <sheetViews>
    <sheetView workbookViewId="0">
      <selection sqref="A1:O2"/>
    </sheetView>
  </sheetViews>
  <sheetFormatPr defaultColWidth="12.5703125" defaultRowHeight="15"/>
  <cols>
    <col min="1" max="1" width="13.85546875" style="211" bestFit="1" customWidth="1"/>
    <col min="2" max="2" width="12.7109375" style="211" bestFit="1" customWidth="1"/>
    <col min="3" max="12" width="12.5703125" style="211"/>
    <col min="13" max="13" width="14.5703125" style="211" bestFit="1" customWidth="1"/>
    <col min="14" max="14" width="14.42578125" style="211" bestFit="1" customWidth="1"/>
    <col min="15" max="15" width="14" style="211" bestFit="1" customWidth="1"/>
    <col min="16" max="16384" width="12.5703125" style="211"/>
  </cols>
  <sheetData>
    <row r="1" spans="1:15">
      <c r="A1" s="737" t="s">
        <v>456</v>
      </c>
      <c r="B1" s="738"/>
      <c r="C1" s="738"/>
      <c r="D1" s="738"/>
      <c r="E1" s="738"/>
      <c r="F1" s="738"/>
      <c r="G1" s="738"/>
      <c r="H1" s="738"/>
      <c r="I1" s="738"/>
      <c r="J1" s="738"/>
      <c r="K1" s="738"/>
      <c r="L1" s="738"/>
      <c r="M1" s="738"/>
      <c r="N1" s="738"/>
      <c r="O1" s="739"/>
    </row>
    <row r="2" spans="1:15">
      <c r="A2" s="740"/>
      <c r="B2" s="741"/>
      <c r="C2" s="741"/>
      <c r="D2" s="741"/>
      <c r="E2" s="741"/>
      <c r="F2" s="741"/>
      <c r="G2" s="741"/>
      <c r="H2" s="741"/>
      <c r="I2" s="741"/>
      <c r="J2" s="741"/>
      <c r="K2" s="741"/>
      <c r="L2" s="741"/>
      <c r="M2" s="741"/>
      <c r="N2" s="741"/>
      <c r="O2" s="742"/>
    </row>
    <row r="3" spans="1:15">
      <c r="A3" s="212" t="s">
        <v>12</v>
      </c>
      <c r="B3" s="212">
        <v>12</v>
      </c>
      <c r="C3" s="212">
        <v>11</v>
      </c>
      <c r="D3" s="212">
        <v>10</v>
      </c>
      <c r="E3" s="212">
        <v>9</v>
      </c>
      <c r="F3" s="212">
        <v>8</v>
      </c>
      <c r="G3" s="212">
        <v>7</v>
      </c>
      <c r="H3" s="212">
        <v>6</v>
      </c>
      <c r="I3" s="212">
        <v>5</v>
      </c>
      <c r="J3" s="212">
        <v>4</v>
      </c>
      <c r="K3" s="212">
        <v>3</v>
      </c>
      <c r="L3" s="212">
        <v>2</v>
      </c>
      <c r="M3" s="212">
        <v>1</v>
      </c>
      <c r="N3" s="212" t="s">
        <v>397</v>
      </c>
      <c r="O3" s="746" t="s">
        <v>402</v>
      </c>
    </row>
    <row r="4" spans="1:15">
      <c r="A4" s="211">
        <f>SUM(B4:M4)</f>
        <v>10209.799999999999</v>
      </c>
      <c r="B4" s="211">
        <f>'گردش توليد و مواد ( A)'!E9</f>
        <v>1206</v>
      </c>
      <c r="C4" s="211">
        <f>'گردش توليد و مواد ( A)'!F9</f>
        <v>1266</v>
      </c>
      <c r="D4" s="211">
        <f>'گردش توليد و مواد ( A)'!G9</f>
        <v>1145.4000000000001</v>
      </c>
      <c r="E4" s="211">
        <f>'گردش توليد و مواد ( A)'!H9</f>
        <v>964.8</v>
      </c>
      <c r="F4" s="211">
        <f>'گردش توليد و مواد ( A)'!I9</f>
        <v>964.8</v>
      </c>
      <c r="G4" s="211">
        <f>'گردش توليد و مواد ( A)'!J9</f>
        <v>1144.8</v>
      </c>
      <c r="H4" s="211">
        <f>'گردش توليد و مواد ( A)'!K9</f>
        <v>603</v>
      </c>
      <c r="I4" s="211">
        <f>'گردش توليد و مواد ( A)'!L9</f>
        <v>603</v>
      </c>
      <c r="J4" s="211">
        <f>'گردش توليد و مواد ( A)'!M9</f>
        <v>603</v>
      </c>
      <c r="K4" s="211">
        <f>'گردش توليد و مواد ( A)'!N9</f>
        <v>603</v>
      </c>
      <c r="L4" s="211">
        <f>'گردش توليد و مواد ( A)'!O9</f>
        <v>603</v>
      </c>
      <c r="M4" s="248">
        <f>'گردش توليد و مواد ( A)'!P9</f>
        <v>503</v>
      </c>
      <c r="N4" s="211" t="s">
        <v>394</v>
      </c>
      <c r="O4" s="747"/>
    </row>
    <row r="5" spans="1:15">
      <c r="B5" s="211">
        <f t="shared" ref="B5:K5" si="0">C5</f>
        <v>3</v>
      </c>
      <c r="C5" s="211">
        <f t="shared" si="0"/>
        <v>3</v>
      </c>
      <c r="D5" s="211">
        <f t="shared" si="0"/>
        <v>3</v>
      </c>
      <c r="E5" s="211">
        <f t="shared" si="0"/>
        <v>3</v>
      </c>
      <c r="F5" s="211">
        <f t="shared" si="0"/>
        <v>3</v>
      </c>
      <c r="G5" s="211">
        <f t="shared" si="0"/>
        <v>3</v>
      </c>
      <c r="H5" s="211">
        <f t="shared" si="0"/>
        <v>3</v>
      </c>
      <c r="I5" s="211">
        <f t="shared" si="0"/>
        <v>3</v>
      </c>
      <c r="J5" s="211">
        <f t="shared" si="0"/>
        <v>3</v>
      </c>
      <c r="K5" s="211">
        <f t="shared" si="0"/>
        <v>3</v>
      </c>
      <c r="L5" s="211">
        <f>M5</f>
        <v>3</v>
      </c>
      <c r="M5" s="211">
        <f>bom!H6</f>
        <v>3</v>
      </c>
      <c r="N5" s="211" t="s">
        <v>400</v>
      </c>
      <c r="O5" s="747"/>
    </row>
    <row r="6" spans="1:15">
      <c r="A6" s="211">
        <f>SUM(B6:M6)</f>
        <v>30629.4</v>
      </c>
      <c r="B6" s="211">
        <f t="shared" ref="B6:L6" si="1">B4*B5</f>
        <v>3618</v>
      </c>
      <c r="C6" s="211">
        <f t="shared" si="1"/>
        <v>3798</v>
      </c>
      <c r="D6" s="211">
        <f t="shared" si="1"/>
        <v>3436.2000000000003</v>
      </c>
      <c r="E6" s="211">
        <f t="shared" si="1"/>
        <v>2894.3999999999996</v>
      </c>
      <c r="F6" s="211">
        <f t="shared" si="1"/>
        <v>2894.3999999999996</v>
      </c>
      <c r="G6" s="211">
        <f t="shared" si="1"/>
        <v>3434.3999999999996</v>
      </c>
      <c r="H6" s="211">
        <f t="shared" si="1"/>
        <v>1809</v>
      </c>
      <c r="I6" s="211">
        <f t="shared" si="1"/>
        <v>1809</v>
      </c>
      <c r="J6" s="211">
        <f t="shared" si="1"/>
        <v>1809</v>
      </c>
      <c r="K6" s="211">
        <f t="shared" si="1"/>
        <v>1809</v>
      </c>
      <c r="L6" s="211">
        <f t="shared" si="1"/>
        <v>1809</v>
      </c>
      <c r="M6" s="211">
        <f>M4*M5</f>
        <v>1509</v>
      </c>
      <c r="N6" s="211" t="s">
        <v>395</v>
      </c>
      <c r="O6" s="747"/>
    </row>
    <row r="7" spans="1:15">
      <c r="A7" s="211">
        <f>B7</f>
        <v>2894.4</v>
      </c>
      <c r="B7" s="211">
        <f>B6*'گردش توليد و مواد ( A)'!$R46%</f>
        <v>2894.4</v>
      </c>
      <c r="C7" s="211">
        <f>C6*'گردش توليد و مواد ( A)'!$R46%</f>
        <v>3038.4</v>
      </c>
      <c r="D7" s="211">
        <f>D6*'گردش توليد و مواد ( A)'!$R46%</f>
        <v>2748.9600000000005</v>
      </c>
      <c r="E7" s="211">
        <f>E6*'گردش توليد و مواد ( A)'!$R46%</f>
        <v>2315.52</v>
      </c>
      <c r="F7" s="211">
        <f>F6*'گردش توليد و مواد ( A)'!$R46%</f>
        <v>2315.52</v>
      </c>
      <c r="G7" s="211">
        <f>G6*'گردش توليد و مواد ( A)'!$R46%</f>
        <v>2747.52</v>
      </c>
      <c r="H7" s="211">
        <f>H6*'گردش توليد و مواد ( A)'!$R46%</f>
        <v>1447.2</v>
      </c>
      <c r="I7" s="211">
        <f>I6*'گردش توليد و مواد ( A)'!$R46%</f>
        <v>1447.2</v>
      </c>
      <c r="J7" s="211">
        <f>J6*'گردش توليد و مواد ( A)'!$R46%</f>
        <v>1447.2</v>
      </c>
      <c r="K7" s="211">
        <f>K6*'گردش توليد و مواد ( A)'!$R46%</f>
        <v>1447.2</v>
      </c>
      <c r="L7" s="211">
        <f>L6*'گردش توليد و مواد ( A)'!$R46%</f>
        <v>1447.2</v>
      </c>
      <c r="M7" s="211">
        <f>M6*'گردش توليد و مواد ( A)'!$R46%</f>
        <v>1207.2</v>
      </c>
      <c r="N7" s="211" t="s">
        <v>29</v>
      </c>
      <c r="O7" s="747"/>
    </row>
    <row r="8" spans="1:15">
      <c r="A8" s="211">
        <f>M8</f>
        <v>1000</v>
      </c>
      <c r="B8" s="211">
        <f t="shared" ref="B8:K8" si="2">C7</f>
        <v>3038.4</v>
      </c>
      <c r="C8" s="211">
        <f t="shared" si="2"/>
        <v>2748.9600000000005</v>
      </c>
      <c r="D8" s="211">
        <f t="shared" si="2"/>
        <v>2315.52</v>
      </c>
      <c r="E8" s="211">
        <f t="shared" si="2"/>
        <v>2315.52</v>
      </c>
      <c r="F8" s="211">
        <f t="shared" si="2"/>
        <v>2747.52</v>
      </c>
      <c r="G8" s="211">
        <f t="shared" si="2"/>
        <v>1447.2</v>
      </c>
      <c r="H8" s="211">
        <f t="shared" si="2"/>
        <v>1447.2</v>
      </c>
      <c r="I8" s="211">
        <f t="shared" si="2"/>
        <v>1447.2</v>
      </c>
      <c r="J8" s="211">
        <f t="shared" si="2"/>
        <v>1447.2</v>
      </c>
      <c r="K8" s="211">
        <f t="shared" si="2"/>
        <v>1447.2</v>
      </c>
      <c r="L8" s="211">
        <f>M7</f>
        <v>1207.2</v>
      </c>
      <c r="M8" s="211">
        <f>'اطاعات تفصیلی سال قبل'!U31</f>
        <v>1000</v>
      </c>
      <c r="N8" s="211" t="s">
        <v>396</v>
      </c>
      <c r="O8" s="747"/>
    </row>
    <row r="9" spans="1:15">
      <c r="A9" s="220">
        <f t="shared" ref="A9:L9" si="3">A6+A7-A8</f>
        <v>32523.800000000003</v>
      </c>
      <c r="B9" s="220">
        <f t="shared" si="3"/>
        <v>3473.9999999999995</v>
      </c>
      <c r="C9" s="220">
        <f t="shared" si="3"/>
        <v>4087.4399999999991</v>
      </c>
      <c r="D9" s="220">
        <f t="shared" si="3"/>
        <v>3869.6400000000008</v>
      </c>
      <c r="E9" s="220">
        <f t="shared" si="3"/>
        <v>2894.4</v>
      </c>
      <c r="F9" s="220">
        <f t="shared" si="3"/>
        <v>2462.4</v>
      </c>
      <c r="G9" s="220">
        <f t="shared" si="3"/>
        <v>4734.72</v>
      </c>
      <c r="H9" s="220">
        <f t="shared" si="3"/>
        <v>1808.9999999999998</v>
      </c>
      <c r="I9" s="220">
        <f t="shared" si="3"/>
        <v>1808.9999999999998</v>
      </c>
      <c r="J9" s="220">
        <f t="shared" si="3"/>
        <v>1808.9999999999998</v>
      </c>
      <c r="K9" s="220">
        <f t="shared" si="3"/>
        <v>1808.9999999999998</v>
      </c>
      <c r="L9" s="220">
        <f t="shared" si="3"/>
        <v>2049</v>
      </c>
      <c r="M9" s="220">
        <f>M6+M7-M8</f>
        <v>1716.1999999999998</v>
      </c>
      <c r="N9" s="220" t="s">
        <v>399</v>
      </c>
      <c r="O9" s="747"/>
    </row>
    <row r="10" spans="1:15">
      <c r="A10" s="220"/>
      <c r="B10" s="220">
        <f t="shared" ref="B10:K10" si="4">C10</f>
        <v>600000</v>
      </c>
      <c r="C10" s="220">
        <f t="shared" si="4"/>
        <v>600000</v>
      </c>
      <c r="D10" s="220">
        <f t="shared" si="4"/>
        <v>600000</v>
      </c>
      <c r="E10" s="220">
        <f t="shared" si="4"/>
        <v>600000</v>
      </c>
      <c r="F10" s="220">
        <f t="shared" si="4"/>
        <v>600000</v>
      </c>
      <c r="G10" s="220">
        <f t="shared" si="4"/>
        <v>600000</v>
      </c>
      <c r="H10" s="220">
        <f t="shared" si="4"/>
        <v>600000</v>
      </c>
      <c r="I10" s="220">
        <f t="shared" si="4"/>
        <v>600000</v>
      </c>
      <c r="J10" s="220">
        <f t="shared" si="4"/>
        <v>600000</v>
      </c>
      <c r="K10" s="220">
        <f t="shared" si="4"/>
        <v>600000</v>
      </c>
      <c r="L10" s="220">
        <f>M10</f>
        <v>600000</v>
      </c>
      <c r="M10" s="220">
        <f>bom!K6</f>
        <v>600000</v>
      </c>
      <c r="N10" s="220" t="s">
        <v>30</v>
      </c>
      <c r="O10" s="747"/>
    </row>
    <row r="11" spans="1:15">
      <c r="A11" s="215">
        <f>SUM(B11:M11)</f>
        <v>19514280000</v>
      </c>
      <c r="B11" s="213">
        <f t="shared" ref="B11:L11" si="5">B9*B10</f>
        <v>2084399999.9999998</v>
      </c>
      <c r="C11" s="213">
        <f t="shared" si="5"/>
        <v>2452463999.9999995</v>
      </c>
      <c r="D11" s="213">
        <f t="shared" si="5"/>
        <v>2321784000.0000005</v>
      </c>
      <c r="E11" s="213">
        <f t="shared" si="5"/>
        <v>1736640000</v>
      </c>
      <c r="F11" s="213">
        <f t="shared" si="5"/>
        <v>1477440000</v>
      </c>
      <c r="G11" s="213">
        <f t="shared" si="5"/>
        <v>2840832000</v>
      </c>
      <c r="H11" s="213">
        <f t="shared" si="5"/>
        <v>1085399999.9999998</v>
      </c>
      <c r="I11" s="213">
        <f t="shared" si="5"/>
        <v>1085399999.9999998</v>
      </c>
      <c r="J11" s="213">
        <f t="shared" si="5"/>
        <v>1085399999.9999998</v>
      </c>
      <c r="K11" s="213">
        <f t="shared" si="5"/>
        <v>1085399999.9999998</v>
      </c>
      <c r="L11" s="213">
        <f t="shared" si="5"/>
        <v>1229400000</v>
      </c>
      <c r="M11" s="213">
        <f>M9*M10</f>
        <v>1029719999.9999999</v>
      </c>
      <c r="N11" s="213" t="s">
        <v>398</v>
      </c>
      <c r="O11" s="748"/>
    </row>
    <row r="14" spans="1:15">
      <c r="A14" s="212" t="s">
        <v>12</v>
      </c>
      <c r="B14" s="212">
        <v>12</v>
      </c>
      <c r="C14" s="212">
        <v>11</v>
      </c>
      <c r="D14" s="212">
        <v>10</v>
      </c>
      <c r="E14" s="212">
        <v>9</v>
      </c>
      <c r="F14" s="212">
        <v>8</v>
      </c>
      <c r="G14" s="212">
        <v>7</v>
      </c>
      <c r="H14" s="212">
        <v>6</v>
      </c>
      <c r="I14" s="212">
        <v>5</v>
      </c>
      <c r="J14" s="212">
        <v>4</v>
      </c>
      <c r="K14" s="212">
        <v>3</v>
      </c>
      <c r="L14" s="212">
        <v>2</v>
      </c>
      <c r="M14" s="212">
        <v>1</v>
      </c>
      <c r="N14" s="212" t="s">
        <v>397</v>
      </c>
      <c r="O14" s="746" t="s">
        <v>401</v>
      </c>
    </row>
    <row r="15" spans="1:15">
      <c r="A15" s="211">
        <f>SUM(B15:M15)</f>
        <v>11410</v>
      </c>
      <c r="B15" s="211">
        <f>'گردش توليد و مواد B'!E9</f>
        <v>1010</v>
      </c>
      <c r="C15" s="211">
        <f>'گردش توليد و مواد B'!F9</f>
        <v>1010</v>
      </c>
      <c r="D15" s="211">
        <f>'گردش توليد و مواد B'!G9</f>
        <v>1010</v>
      </c>
      <c r="E15" s="211">
        <f>'گردش توليد و مواد B'!H9</f>
        <v>1010</v>
      </c>
      <c r="F15" s="211">
        <f>'گردش توليد و مواد B'!I9</f>
        <v>1010</v>
      </c>
      <c r="G15" s="211">
        <f>'گردش توليد و مواد B'!J9</f>
        <v>1010</v>
      </c>
      <c r="H15" s="211">
        <f>'گردش توليد و مواد B'!K9</f>
        <v>1190</v>
      </c>
      <c r="I15" s="211">
        <f>'گردش توليد و مواد B'!L9</f>
        <v>808</v>
      </c>
      <c r="J15" s="211">
        <f>'گردش توليد و مواد B'!M9</f>
        <v>808</v>
      </c>
      <c r="K15" s="211">
        <f>'گردش توليد و مواد B'!N9</f>
        <v>808</v>
      </c>
      <c r="L15" s="211">
        <f>'گردش توليد و مواد B'!O9</f>
        <v>808</v>
      </c>
      <c r="M15" s="211">
        <f>'گردش توليد و مواد B'!P9</f>
        <v>928</v>
      </c>
      <c r="N15" s="211" t="s">
        <v>394</v>
      </c>
      <c r="O15" s="747"/>
    </row>
    <row r="16" spans="1:15">
      <c r="B16" s="214">
        <f t="shared" ref="B16:K16" si="6">C16</f>
        <v>1.2</v>
      </c>
      <c r="C16" s="214">
        <f t="shared" si="6"/>
        <v>1.2</v>
      </c>
      <c r="D16" s="214">
        <f t="shared" si="6"/>
        <v>1.2</v>
      </c>
      <c r="E16" s="214">
        <f t="shared" si="6"/>
        <v>1.2</v>
      </c>
      <c r="F16" s="214">
        <f t="shared" si="6"/>
        <v>1.2</v>
      </c>
      <c r="G16" s="214">
        <f t="shared" si="6"/>
        <v>1.2</v>
      </c>
      <c r="H16" s="214">
        <f t="shared" si="6"/>
        <v>1.2</v>
      </c>
      <c r="I16" s="214">
        <f t="shared" si="6"/>
        <v>1.2</v>
      </c>
      <c r="J16" s="214">
        <f t="shared" si="6"/>
        <v>1.2</v>
      </c>
      <c r="K16" s="214">
        <f t="shared" si="6"/>
        <v>1.2</v>
      </c>
      <c r="L16" s="214">
        <f>M16</f>
        <v>1.2</v>
      </c>
      <c r="M16" s="214">
        <f>bom!I6</f>
        <v>1.2</v>
      </c>
      <c r="N16" s="211" t="s">
        <v>400</v>
      </c>
      <c r="O16" s="747"/>
    </row>
    <row r="17" spans="1:15">
      <c r="A17" s="211">
        <f>SUM(B17:M17)</f>
        <v>13692.000000000002</v>
      </c>
      <c r="B17" s="211">
        <f t="shared" ref="B17" si="7">B15*B16</f>
        <v>1212</v>
      </c>
      <c r="C17" s="211">
        <f t="shared" ref="C17" si="8">C15*C16</f>
        <v>1212</v>
      </c>
      <c r="D17" s="211">
        <f t="shared" ref="D17" si="9">D15*D16</f>
        <v>1212</v>
      </c>
      <c r="E17" s="211">
        <f t="shared" ref="E17" si="10">E15*E16</f>
        <v>1212</v>
      </c>
      <c r="F17" s="211">
        <f t="shared" ref="F17" si="11">F15*F16</f>
        <v>1212</v>
      </c>
      <c r="G17" s="211">
        <f t="shared" ref="G17" si="12">G15*G16</f>
        <v>1212</v>
      </c>
      <c r="H17" s="211">
        <f t="shared" ref="H17" si="13">H15*H16</f>
        <v>1428</v>
      </c>
      <c r="I17" s="211">
        <f t="shared" ref="I17" si="14">I15*I16</f>
        <v>969.59999999999991</v>
      </c>
      <c r="J17" s="211">
        <f t="shared" ref="J17" si="15">J15*J16</f>
        <v>969.59999999999991</v>
      </c>
      <c r="K17" s="211">
        <f t="shared" ref="K17" si="16">K15*K16</f>
        <v>969.59999999999991</v>
      </c>
      <c r="L17" s="211">
        <f t="shared" ref="L17" si="17">L15*L16</f>
        <v>969.59999999999991</v>
      </c>
      <c r="M17" s="211">
        <f>M15*M16</f>
        <v>1113.5999999999999</v>
      </c>
      <c r="N17" s="211" t="s">
        <v>395</v>
      </c>
      <c r="O17" s="747"/>
    </row>
    <row r="18" spans="1:15">
      <c r="A18" s="211">
        <f>B18</f>
        <v>606</v>
      </c>
      <c r="B18" s="211">
        <f>B17*'گردش توليد و مواد B'!$R46%</f>
        <v>606</v>
      </c>
      <c r="C18" s="211">
        <f>C17*'گردش توليد و مواد B'!$R46%</f>
        <v>606</v>
      </c>
      <c r="D18" s="211">
        <f>D17*'گردش توليد و مواد B'!$R46%</f>
        <v>606</v>
      </c>
      <c r="E18" s="211">
        <f>E17*'گردش توليد و مواد B'!$R46%</f>
        <v>606</v>
      </c>
      <c r="F18" s="211">
        <f>F17*'گردش توليد و مواد B'!$R46%</f>
        <v>606</v>
      </c>
      <c r="G18" s="211">
        <f>G17*'گردش توليد و مواد B'!$R46%</f>
        <v>606</v>
      </c>
      <c r="H18" s="211">
        <f>H17*'گردش توليد و مواد B'!$R46%</f>
        <v>714</v>
      </c>
      <c r="I18" s="211">
        <f>I17*'گردش توليد و مواد B'!$R46%</f>
        <v>484.79999999999995</v>
      </c>
      <c r="J18" s="211">
        <f>J17*'گردش توليد و مواد B'!$R46%</f>
        <v>484.79999999999995</v>
      </c>
      <c r="K18" s="211">
        <f>K17*'گردش توليد و مواد B'!$R46%</f>
        <v>484.79999999999995</v>
      </c>
      <c r="L18" s="211">
        <f>L17*'گردش توليد و مواد B'!$R46%</f>
        <v>484.79999999999995</v>
      </c>
      <c r="M18" s="211">
        <f>M17*'گردش توليد و مواد B'!$R46%</f>
        <v>556.79999999999995</v>
      </c>
      <c r="N18" s="211" t="s">
        <v>29</v>
      </c>
      <c r="O18" s="747"/>
    </row>
    <row r="19" spans="1:15">
      <c r="A19" s="211">
        <f>M19</f>
        <v>0</v>
      </c>
      <c r="B19" s="211">
        <f t="shared" ref="B19:K19" si="18">C18</f>
        <v>606</v>
      </c>
      <c r="C19" s="211">
        <f t="shared" si="18"/>
        <v>606</v>
      </c>
      <c r="D19" s="211">
        <f t="shared" si="18"/>
        <v>606</v>
      </c>
      <c r="E19" s="211">
        <f t="shared" si="18"/>
        <v>606</v>
      </c>
      <c r="F19" s="211">
        <f t="shared" si="18"/>
        <v>606</v>
      </c>
      <c r="G19" s="211">
        <f t="shared" si="18"/>
        <v>714</v>
      </c>
      <c r="H19" s="211">
        <f t="shared" si="18"/>
        <v>484.79999999999995</v>
      </c>
      <c r="I19" s="211">
        <f t="shared" si="18"/>
        <v>484.79999999999995</v>
      </c>
      <c r="J19" s="211">
        <f t="shared" si="18"/>
        <v>484.79999999999995</v>
      </c>
      <c r="K19" s="211">
        <f t="shared" si="18"/>
        <v>484.79999999999995</v>
      </c>
      <c r="L19" s="211">
        <f>M18</f>
        <v>556.79999999999995</v>
      </c>
      <c r="M19" s="211">
        <v>0</v>
      </c>
      <c r="N19" s="211" t="s">
        <v>396</v>
      </c>
      <c r="O19" s="747"/>
    </row>
    <row r="20" spans="1:15">
      <c r="A20" s="220">
        <f t="shared" ref="A20" si="19">A17+A18-A19</f>
        <v>14298.000000000002</v>
      </c>
      <c r="B20" s="220">
        <f t="shared" ref="B20" si="20">B17+B18-B19</f>
        <v>1212</v>
      </c>
      <c r="C20" s="220">
        <f t="shared" ref="C20" si="21">C17+C18-C19</f>
        <v>1212</v>
      </c>
      <c r="D20" s="220">
        <f t="shared" ref="D20" si="22">D17+D18-D19</f>
        <v>1212</v>
      </c>
      <c r="E20" s="220">
        <f t="shared" ref="E20" si="23">E17+E18-E19</f>
        <v>1212</v>
      </c>
      <c r="F20" s="220">
        <f t="shared" ref="F20" si="24">F17+F18-F19</f>
        <v>1212</v>
      </c>
      <c r="G20" s="220">
        <f t="shared" ref="G20" si="25">G17+G18-G19</f>
        <v>1104</v>
      </c>
      <c r="H20" s="220">
        <f t="shared" ref="H20" si="26">H17+H18-H19</f>
        <v>1657.2</v>
      </c>
      <c r="I20" s="220">
        <f t="shared" ref="I20" si="27">I17+I18-I19</f>
        <v>969.59999999999991</v>
      </c>
      <c r="J20" s="220">
        <f t="shared" ref="J20" si="28">J17+J18-J19</f>
        <v>969.59999999999991</v>
      </c>
      <c r="K20" s="220">
        <f t="shared" ref="K20" si="29">K17+K18-K19</f>
        <v>969.59999999999991</v>
      </c>
      <c r="L20" s="220">
        <f t="shared" ref="L20" si="30">L17+L18-L19</f>
        <v>897.59999999999991</v>
      </c>
      <c r="M20" s="220">
        <f>M17+M18-M19</f>
        <v>1670.3999999999999</v>
      </c>
      <c r="N20" s="220" t="s">
        <v>399</v>
      </c>
      <c r="O20" s="747"/>
    </row>
    <row r="21" spans="1:15">
      <c r="A21" s="220"/>
      <c r="B21" s="220">
        <f t="shared" ref="B21:K21" si="31">C21</f>
        <v>600000</v>
      </c>
      <c r="C21" s="220">
        <f t="shared" si="31"/>
        <v>600000</v>
      </c>
      <c r="D21" s="220">
        <f t="shared" si="31"/>
        <v>600000</v>
      </c>
      <c r="E21" s="220">
        <f t="shared" si="31"/>
        <v>600000</v>
      </c>
      <c r="F21" s="220">
        <f t="shared" si="31"/>
        <v>600000</v>
      </c>
      <c r="G21" s="220">
        <f t="shared" si="31"/>
        <v>600000</v>
      </c>
      <c r="H21" s="220">
        <f t="shared" si="31"/>
        <v>600000</v>
      </c>
      <c r="I21" s="220">
        <f t="shared" si="31"/>
        <v>600000</v>
      </c>
      <c r="J21" s="220">
        <f t="shared" si="31"/>
        <v>600000</v>
      </c>
      <c r="K21" s="220">
        <f t="shared" si="31"/>
        <v>600000</v>
      </c>
      <c r="L21" s="220">
        <f>M21</f>
        <v>600000</v>
      </c>
      <c r="M21" s="220">
        <f>bom!K6</f>
        <v>600000</v>
      </c>
      <c r="N21" s="220" t="s">
        <v>30</v>
      </c>
      <c r="O21" s="747"/>
    </row>
    <row r="22" spans="1:15">
      <c r="A22" s="215">
        <f>SUM(B22:M22)</f>
        <v>8578800000</v>
      </c>
      <c r="B22" s="213">
        <f t="shared" ref="B22:L22" si="32">B20*B21</f>
        <v>727200000</v>
      </c>
      <c r="C22" s="213">
        <f t="shared" si="32"/>
        <v>727200000</v>
      </c>
      <c r="D22" s="213">
        <f t="shared" si="32"/>
        <v>727200000</v>
      </c>
      <c r="E22" s="213">
        <f t="shared" si="32"/>
        <v>727200000</v>
      </c>
      <c r="F22" s="213">
        <f t="shared" si="32"/>
        <v>727200000</v>
      </c>
      <c r="G22" s="213">
        <f t="shared" si="32"/>
        <v>662400000</v>
      </c>
      <c r="H22" s="213">
        <f t="shared" si="32"/>
        <v>994320000</v>
      </c>
      <c r="I22" s="213">
        <f t="shared" si="32"/>
        <v>581760000</v>
      </c>
      <c r="J22" s="213">
        <f t="shared" si="32"/>
        <v>581760000</v>
      </c>
      <c r="K22" s="213">
        <f t="shared" si="32"/>
        <v>581760000</v>
      </c>
      <c r="L22" s="213">
        <f t="shared" si="32"/>
        <v>538560000</v>
      </c>
      <c r="M22" s="213">
        <f>M20*M21</f>
        <v>1002239999.9999999</v>
      </c>
      <c r="N22" s="213" t="s">
        <v>398</v>
      </c>
      <c r="O22" s="748"/>
    </row>
    <row r="25" spans="1:15">
      <c r="A25" s="212" t="s">
        <v>12</v>
      </c>
      <c r="B25" s="212">
        <v>12</v>
      </c>
      <c r="C25" s="212">
        <v>11</v>
      </c>
      <c r="D25" s="212">
        <v>10</v>
      </c>
      <c r="E25" s="212">
        <v>9</v>
      </c>
      <c r="F25" s="212">
        <v>8</v>
      </c>
      <c r="G25" s="212">
        <v>7</v>
      </c>
      <c r="H25" s="212">
        <v>6</v>
      </c>
      <c r="I25" s="212">
        <v>5</v>
      </c>
      <c r="J25" s="212">
        <v>4</v>
      </c>
      <c r="K25" s="212">
        <v>3</v>
      </c>
      <c r="L25" s="212">
        <v>2</v>
      </c>
      <c r="M25" s="212">
        <v>1</v>
      </c>
      <c r="N25" s="212" t="s">
        <v>397</v>
      </c>
      <c r="O25" s="746" t="s">
        <v>803</v>
      </c>
    </row>
    <row r="26" spans="1:15">
      <c r="A26" s="211">
        <f>SUM(B26:M26)</f>
        <v>9718.4999999999982</v>
      </c>
      <c r="B26" s="211">
        <f>'گردش توليد و مواد C'!E9</f>
        <v>858.5</v>
      </c>
      <c r="C26" s="211">
        <f>'گردش توليد و مواد C'!F9</f>
        <v>858.5</v>
      </c>
      <c r="D26" s="211">
        <f>'گردش توليد و مواد C'!G9</f>
        <v>858.5</v>
      </c>
      <c r="E26" s="211">
        <f>'گردش توليد و مواد C'!H9</f>
        <v>858.5</v>
      </c>
      <c r="F26" s="211">
        <f>'گردش توليد و مواد C'!I9</f>
        <v>858.5</v>
      </c>
      <c r="G26" s="211">
        <f>'گردش توليد و مواد C'!J9</f>
        <v>858.5</v>
      </c>
      <c r="H26" s="211">
        <f>'گردش توليد و مواد C'!K9</f>
        <v>1113.5</v>
      </c>
      <c r="I26" s="211">
        <f>'گردش توليد و مواد C'!L9</f>
        <v>686.8</v>
      </c>
      <c r="J26" s="211">
        <f>'گردش توليد و مواد C'!M9</f>
        <v>686.8</v>
      </c>
      <c r="K26" s="211">
        <f>'گردش توليد و مواد C'!N9</f>
        <v>686.8</v>
      </c>
      <c r="L26" s="211">
        <f>'گردش توليد و مواد C'!O9</f>
        <v>686.8</v>
      </c>
      <c r="M26" s="211">
        <f>'گردش توليد و مواد C'!P9</f>
        <v>706.8</v>
      </c>
      <c r="N26" s="211" t="s">
        <v>394</v>
      </c>
      <c r="O26" s="747"/>
    </row>
    <row r="27" spans="1:15">
      <c r="B27" s="214">
        <f t="shared" ref="B27:K27" si="33">C27</f>
        <v>1.3</v>
      </c>
      <c r="C27" s="214">
        <f t="shared" si="33"/>
        <v>1.3</v>
      </c>
      <c r="D27" s="214">
        <f t="shared" si="33"/>
        <v>1.3</v>
      </c>
      <c r="E27" s="214">
        <f t="shared" si="33"/>
        <v>1.3</v>
      </c>
      <c r="F27" s="214">
        <f t="shared" si="33"/>
        <v>1.3</v>
      </c>
      <c r="G27" s="214">
        <f t="shared" si="33"/>
        <v>1.3</v>
      </c>
      <c r="H27" s="214">
        <f t="shared" si="33"/>
        <v>1.3</v>
      </c>
      <c r="I27" s="214">
        <f t="shared" si="33"/>
        <v>1.3</v>
      </c>
      <c r="J27" s="214">
        <f t="shared" si="33"/>
        <v>1.3</v>
      </c>
      <c r="K27" s="214">
        <f t="shared" si="33"/>
        <v>1.3</v>
      </c>
      <c r="L27" s="214">
        <f>M27</f>
        <v>1.3</v>
      </c>
      <c r="M27" s="214">
        <f>bom!J11</f>
        <v>1.3</v>
      </c>
      <c r="N27" s="211" t="s">
        <v>400</v>
      </c>
      <c r="O27" s="747"/>
    </row>
    <row r="28" spans="1:15">
      <c r="A28" s="211">
        <f>SUM(B28:M28)</f>
        <v>12634.050000000001</v>
      </c>
      <c r="B28" s="211">
        <f t="shared" ref="B28" si="34">B26*B27</f>
        <v>1116.05</v>
      </c>
      <c r="C28" s="211">
        <f t="shared" ref="C28" si="35">C26*C27</f>
        <v>1116.05</v>
      </c>
      <c r="D28" s="211">
        <f t="shared" ref="D28" si="36">D26*D27</f>
        <v>1116.05</v>
      </c>
      <c r="E28" s="211">
        <f t="shared" ref="E28" si="37">E26*E27</f>
        <v>1116.05</v>
      </c>
      <c r="F28" s="211">
        <f t="shared" ref="F28" si="38">F26*F27</f>
        <v>1116.05</v>
      </c>
      <c r="G28" s="211">
        <f t="shared" ref="G28" si="39">G26*G27</f>
        <v>1116.05</v>
      </c>
      <c r="H28" s="211">
        <f t="shared" ref="H28" si="40">H26*H27</f>
        <v>1447.55</v>
      </c>
      <c r="I28" s="211">
        <f t="shared" ref="I28" si="41">I26*I27</f>
        <v>892.83999999999992</v>
      </c>
      <c r="J28" s="211">
        <f t="shared" ref="J28" si="42">J26*J27</f>
        <v>892.83999999999992</v>
      </c>
      <c r="K28" s="211">
        <f t="shared" ref="K28" si="43">K26*K27</f>
        <v>892.83999999999992</v>
      </c>
      <c r="L28" s="211">
        <f t="shared" ref="L28" si="44">L26*L27</f>
        <v>892.83999999999992</v>
      </c>
      <c r="M28" s="211">
        <f>M26*M27</f>
        <v>918.83999999999992</v>
      </c>
      <c r="N28" s="211" t="s">
        <v>395</v>
      </c>
      <c r="O28" s="747"/>
    </row>
    <row r="29" spans="1:15">
      <c r="A29" s="211">
        <f>B29</f>
        <v>1674.0749999999998</v>
      </c>
      <c r="B29" s="211">
        <f>B28*'گردش توليد و مواد C'!$R46%</f>
        <v>1674.0749999999998</v>
      </c>
      <c r="C29" s="211">
        <f>C28*'گردش توليد و مواد C'!$R46%</f>
        <v>1674.0749999999998</v>
      </c>
      <c r="D29" s="211">
        <f>D28*'گردش توليد و مواد C'!$R46%</f>
        <v>1674.0749999999998</v>
      </c>
      <c r="E29" s="211">
        <f>E28*'گردش توليد و مواد C'!$R46%</f>
        <v>1674.0749999999998</v>
      </c>
      <c r="F29" s="211">
        <f>F28*'گردش توليد و مواد C'!$R46%</f>
        <v>1674.0749999999998</v>
      </c>
      <c r="G29" s="211">
        <f>G28*'گردش توليد و مواد C'!$R46%</f>
        <v>1674.0749999999998</v>
      </c>
      <c r="H29" s="211">
        <f>H28*'گردش توليد و مواد C'!$R46%</f>
        <v>2171.3249999999998</v>
      </c>
      <c r="I29" s="211">
        <f>I28*'گردش توليد و مواد C'!$R46%</f>
        <v>1339.2599999999998</v>
      </c>
      <c r="J29" s="211">
        <f>J28*'گردش توليد و مواد C'!$R46%</f>
        <v>1339.2599999999998</v>
      </c>
      <c r="K29" s="211">
        <f>K28*'گردش توليد و مواد C'!$R46%</f>
        <v>1339.2599999999998</v>
      </c>
      <c r="L29" s="211">
        <f>L28*'گردش توليد و مواد C'!$R46%</f>
        <v>1339.2599999999998</v>
      </c>
      <c r="M29" s="211">
        <f>M28*'گردش توليد و مواد C'!$R46%</f>
        <v>1378.2599999999998</v>
      </c>
      <c r="N29" s="211" t="s">
        <v>29</v>
      </c>
      <c r="O29" s="747"/>
    </row>
    <row r="30" spans="1:15">
      <c r="A30" s="211">
        <f>M30</f>
        <v>1620</v>
      </c>
      <c r="B30" s="211">
        <f t="shared" ref="B30:K30" si="45">C29</f>
        <v>1674.0749999999998</v>
      </c>
      <c r="C30" s="211">
        <f t="shared" si="45"/>
        <v>1674.0749999999998</v>
      </c>
      <c r="D30" s="211">
        <f t="shared" si="45"/>
        <v>1674.0749999999998</v>
      </c>
      <c r="E30" s="211">
        <f t="shared" si="45"/>
        <v>1674.0749999999998</v>
      </c>
      <c r="F30" s="211">
        <f t="shared" si="45"/>
        <v>1674.0749999999998</v>
      </c>
      <c r="G30" s="211">
        <f t="shared" si="45"/>
        <v>2171.3249999999998</v>
      </c>
      <c r="H30" s="211">
        <f t="shared" si="45"/>
        <v>1339.2599999999998</v>
      </c>
      <c r="I30" s="211">
        <f t="shared" si="45"/>
        <v>1339.2599999999998</v>
      </c>
      <c r="J30" s="211">
        <f t="shared" si="45"/>
        <v>1339.2599999999998</v>
      </c>
      <c r="K30" s="211">
        <f t="shared" si="45"/>
        <v>1339.2599999999998</v>
      </c>
      <c r="L30" s="211">
        <f>M29</f>
        <v>1378.2599999999998</v>
      </c>
      <c r="M30" s="211">
        <f>'اطاعات تفصیلی سال قبل'!U33</f>
        <v>1620</v>
      </c>
      <c r="N30" s="211" t="s">
        <v>396</v>
      </c>
      <c r="O30" s="747"/>
    </row>
    <row r="31" spans="1:15">
      <c r="A31" s="220">
        <f t="shared" ref="A31" si="46">A28+A29-A30</f>
        <v>12688.125</v>
      </c>
      <c r="B31" s="220">
        <f t="shared" ref="B31" si="47">B28+B29-B30</f>
        <v>1116.0500000000002</v>
      </c>
      <c r="C31" s="220">
        <f t="shared" ref="C31" si="48">C28+C29-C30</f>
        <v>1116.0500000000002</v>
      </c>
      <c r="D31" s="220">
        <f t="shared" ref="D31" si="49">D28+D29-D30</f>
        <v>1116.0500000000002</v>
      </c>
      <c r="E31" s="220">
        <f t="shared" ref="E31" si="50">E28+E29-E30</f>
        <v>1116.0500000000002</v>
      </c>
      <c r="F31" s="220">
        <f t="shared" ref="F31" si="51">F28+F29-F30</f>
        <v>1116.0500000000002</v>
      </c>
      <c r="G31" s="220">
        <f t="shared" ref="G31" si="52">G28+G29-G30</f>
        <v>618.80000000000018</v>
      </c>
      <c r="H31" s="220">
        <f t="shared" ref="H31" si="53">H28+H29-H30</f>
        <v>2279.6150000000002</v>
      </c>
      <c r="I31" s="220">
        <f t="shared" ref="I31" si="54">I28+I29-I30</f>
        <v>892.83999999999969</v>
      </c>
      <c r="J31" s="220">
        <f t="shared" ref="J31" si="55">J28+J29-J30</f>
        <v>892.83999999999969</v>
      </c>
      <c r="K31" s="220">
        <f t="shared" ref="K31" si="56">K28+K29-K30</f>
        <v>892.83999999999969</v>
      </c>
      <c r="L31" s="220">
        <f t="shared" ref="L31" si="57">L28+L29-L30</f>
        <v>853.83999999999969</v>
      </c>
      <c r="M31" s="220">
        <f>M28+M29-M30</f>
        <v>677.09999999999945</v>
      </c>
      <c r="N31" s="220" t="s">
        <v>399</v>
      </c>
      <c r="O31" s="747"/>
    </row>
    <row r="32" spans="1:15">
      <c r="A32" s="220"/>
      <c r="B32" s="220">
        <f t="shared" ref="B32:K32" si="58">C32</f>
        <v>260000</v>
      </c>
      <c r="C32" s="220">
        <f t="shared" si="58"/>
        <v>260000</v>
      </c>
      <c r="D32" s="220">
        <f t="shared" si="58"/>
        <v>260000</v>
      </c>
      <c r="E32" s="220">
        <f t="shared" si="58"/>
        <v>260000</v>
      </c>
      <c r="F32" s="220">
        <f t="shared" si="58"/>
        <v>260000</v>
      </c>
      <c r="G32" s="220">
        <f t="shared" si="58"/>
        <v>260000</v>
      </c>
      <c r="H32" s="220">
        <f t="shared" si="58"/>
        <v>260000</v>
      </c>
      <c r="I32" s="220">
        <f t="shared" si="58"/>
        <v>260000</v>
      </c>
      <c r="J32" s="220">
        <f t="shared" si="58"/>
        <v>260000</v>
      </c>
      <c r="K32" s="220">
        <f t="shared" si="58"/>
        <v>260000</v>
      </c>
      <c r="L32" s="220">
        <f>M32</f>
        <v>260000</v>
      </c>
      <c r="M32" s="220">
        <f>bom!K11</f>
        <v>260000</v>
      </c>
      <c r="N32" s="220" t="s">
        <v>30</v>
      </c>
      <c r="O32" s="747"/>
    </row>
    <row r="33" spans="1:15">
      <c r="A33" s="215">
        <f>SUM(B33:M33)</f>
        <v>3298912500.0000005</v>
      </c>
      <c r="B33" s="213">
        <f t="shared" ref="B33" si="59">B31*B32</f>
        <v>290173000.00000006</v>
      </c>
      <c r="C33" s="213">
        <f t="shared" ref="C33" si="60">C31*C32</f>
        <v>290173000.00000006</v>
      </c>
      <c r="D33" s="213">
        <f t="shared" ref="D33" si="61">D31*D32</f>
        <v>290173000.00000006</v>
      </c>
      <c r="E33" s="213">
        <f t="shared" ref="E33" si="62">E31*E32</f>
        <v>290173000.00000006</v>
      </c>
      <c r="F33" s="213">
        <f t="shared" ref="F33" si="63">F31*F32</f>
        <v>290173000.00000006</v>
      </c>
      <c r="G33" s="213">
        <f t="shared" ref="G33" si="64">G31*G32</f>
        <v>160888000.00000006</v>
      </c>
      <c r="H33" s="213">
        <f t="shared" ref="H33" si="65">H31*H32</f>
        <v>592699900.00000012</v>
      </c>
      <c r="I33" s="213">
        <f t="shared" ref="I33" si="66">I31*I32</f>
        <v>232138399.99999991</v>
      </c>
      <c r="J33" s="213">
        <f t="shared" ref="J33" si="67">J31*J32</f>
        <v>232138399.99999991</v>
      </c>
      <c r="K33" s="213">
        <f t="shared" ref="K33" si="68">K31*K32</f>
        <v>232138399.99999991</v>
      </c>
      <c r="L33" s="213">
        <f t="shared" ref="L33" si="69">L31*L32</f>
        <v>221998399.99999991</v>
      </c>
      <c r="M33" s="213">
        <f>M31*M32</f>
        <v>176045999.99999985</v>
      </c>
      <c r="N33" s="213" t="s">
        <v>398</v>
      </c>
      <c r="O33" s="748"/>
    </row>
    <row r="36" spans="1:15">
      <c r="A36" s="212" t="s">
        <v>12</v>
      </c>
      <c r="B36" s="212">
        <v>12</v>
      </c>
      <c r="C36" s="212">
        <v>11</v>
      </c>
      <c r="D36" s="212">
        <v>10</v>
      </c>
      <c r="E36" s="212">
        <v>9</v>
      </c>
      <c r="F36" s="212">
        <v>8</v>
      </c>
      <c r="G36" s="212">
        <v>7</v>
      </c>
      <c r="H36" s="212">
        <v>6</v>
      </c>
      <c r="I36" s="212">
        <v>5</v>
      </c>
      <c r="J36" s="212">
        <v>4</v>
      </c>
      <c r="K36" s="212">
        <v>3</v>
      </c>
      <c r="L36" s="212">
        <v>2</v>
      </c>
      <c r="M36" s="212">
        <v>1</v>
      </c>
      <c r="N36" s="212" t="s">
        <v>397</v>
      </c>
      <c r="O36" s="743" t="s">
        <v>416</v>
      </c>
    </row>
    <row r="37" spans="1:15">
      <c r="A37" s="211">
        <f>SUM(B37:M37)</f>
        <v>10209.799999999999</v>
      </c>
      <c r="B37" s="211">
        <f>'گردش توليد و مواد ( A)'!E9</f>
        <v>1206</v>
      </c>
      <c r="C37" s="211">
        <f>'گردش توليد و مواد ( A)'!F9</f>
        <v>1266</v>
      </c>
      <c r="D37" s="211">
        <f>'گردش توليد و مواد ( A)'!G9</f>
        <v>1145.4000000000001</v>
      </c>
      <c r="E37" s="211">
        <f>'گردش توليد و مواد ( A)'!H9</f>
        <v>964.8</v>
      </c>
      <c r="F37" s="211">
        <f>'گردش توليد و مواد ( A)'!I9</f>
        <v>964.8</v>
      </c>
      <c r="G37" s="211">
        <f>'گردش توليد و مواد ( A)'!J9</f>
        <v>1144.8</v>
      </c>
      <c r="H37" s="211">
        <f>'گردش توليد و مواد ( A)'!K9</f>
        <v>603</v>
      </c>
      <c r="I37" s="211">
        <f>'گردش توليد و مواد ( A)'!L9</f>
        <v>603</v>
      </c>
      <c r="J37" s="211">
        <f>'گردش توليد و مواد ( A)'!M9</f>
        <v>603</v>
      </c>
      <c r="K37" s="211">
        <f>'گردش توليد و مواد ( A)'!N9</f>
        <v>603</v>
      </c>
      <c r="L37" s="211">
        <f>'گردش توليد و مواد ( A)'!O9</f>
        <v>603</v>
      </c>
      <c r="M37" s="211">
        <f>'گردش توليد و مواد ( A)'!P9</f>
        <v>503</v>
      </c>
      <c r="N37" s="211" t="s">
        <v>394</v>
      </c>
      <c r="O37" s="744"/>
    </row>
    <row r="38" spans="1:15">
      <c r="B38" s="214">
        <f t="shared" ref="B38" si="70">C38</f>
        <v>2</v>
      </c>
      <c r="C38" s="214">
        <f t="shared" ref="C38" si="71">D38</f>
        <v>2</v>
      </c>
      <c r="D38" s="214">
        <f t="shared" ref="D38" si="72">E38</f>
        <v>2</v>
      </c>
      <c r="E38" s="214">
        <f t="shared" ref="E38" si="73">F38</f>
        <v>2</v>
      </c>
      <c r="F38" s="214">
        <f t="shared" ref="F38" si="74">G38</f>
        <v>2</v>
      </c>
      <c r="G38" s="214">
        <f t="shared" ref="G38" si="75">H38</f>
        <v>2</v>
      </c>
      <c r="H38" s="214">
        <f t="shared" ref="H38" si="76">I38</f>
        <v>2</v>
      </c>
      <c r="I38" s="214">
        <f t="shared" ref="I38" si="77">J38</f>
        <v>2</v>
      </c>
      <c r="J38" s="214">
        <f t="shared" ref="J38" si="78">K38</f>
        <v>2</v>
      </c>
      <c r="K38" s="214">
        <f t="shared" ref="K38" si="79">L38</f>
        <v>2</v>
      </c>
      <c r="L38" s="214">
        <f>M38</f>
        <v>2</v>
      </c>
      <c r="M38" s="214">
        <f>bom!H7</f>
        <v>2</v>
      </c>
      <c r="N38" s="211" t="s">
        <v>400</v>
      </c>
      <c r="O38" s="744"/>
    </row>
    <row r="39" spans="1:15">
      <c r="A39" s="211">
        <f>SUM(B39:M39)</f>
        <v>20419.599999999999</v>
      </c>
      <c r="B39" s="211">
        <f t="shared" ref="B39:L39" si="80">B37*B38</f>
        <v>2412</v>
      </c>
      <c r="C39" s="211">
        <f t="shared" si="80"/>
        <v>2532</v>
      </c>
      <c r="D39" s="211">
        <f t="shared" si="80"/>
        <v>2290.8000000000002</v>
      </c>
      <c r="E39" s="211">
        <f t="shared" si="80"/>
        <v>1929.6</v>
      </c>
      <c r="F39" s="211">
        <f t="shared" si="80"/>
        <v>1929.6</v>
      </c>
      <c r="G39" s="211">
        <f t="shared" si="80"/>
        <v>2289.6</v>
      </c>
      <c r="H39" s="211">
        <f t="shared" si="80"/>
        <v>1206</v>
      </c>
      <c r="I39" s="211">
        <f t="shared" si="80"/>
        <v>1206</v>
      </c>
      <c r="J39" s="211">
        <f t="shared" si="80"/>
        <v>1206</v>
      </c>
      <c r="K39" s="211">
        <f t="shared" si="80"/>
        <v>1206</v>
      </c>
      <c r="L39" s="211">
        <f t="shared" si="80"/>
        <v>1206</v>
      </c>
      <c r="M39" s="211">
        <f>M37*M38</f>
        <v>1006</v>
      </c>
      <c r="N39" s="211" t="s">
        <v>395</v>
      </c>
      <c r="O39" s="744"/>
    </row>
    <row r="40" spans="1:15">
      <c r="A40" s="211">
        <f>B40</f>
        <v>1929.6000000000001</v>
      </c>
      <c r="B40" s="211">
        <f>B39*'گردش توليد و مواد ( A)'!$R46%</f>
        <v>1929.6000000000001</v>
      </c>
      <c r="C40" s="211">
        <f>C39*'گردش توليد و مواد ( A)'!$R46%</f>
        <v>2025.6000000000001</v>
      </c>
      <c r="D40" s="211">
        <f>D39*'گردش توليد و مواد ( A)'!$R46%</f>
        <v>1832.6400000000003</v>
      </c>
      <c r="E40" s="211">
        <f>E39*'گردش توليد و مواد ( A)'!$R46%</f>
        <v>1543.68</v>
      </c>
      <c r="F40" s="211">
        <f>F39*'گردش توليد و مواد ( A)'!$R46%</f>
        <v>1543.68</v>
      </c>
      <c r="G40" s="211">
        <f>G39*'گردش توليد و مواد ( A)'!$R46%</f>
        <v>1831.68</v>
      </c>
      <c r="H40" s="211">
        <f>H39*'گردش توليد و مواد ( A)'!$R46%</f>
        <v>964.80000000000007</v>
      </c>
      <c r="I40" s="211">
        <f>I39*'گردش توليد و مواد ( A)'!$R46%</f>
        <v>964.80000000000007</v>
      </c>
      <c r="J40" s="211">
        <f>J39*'گردش توليد و مواد ( A)'!$R46%</f>
        <v>964.80000000000007</v>
      </c>
      <c r="K40" s="211">
        <f>K39*'گردش توليد و مواد ( A)'!$R46%</f>
        <v>964.80000000000007</v>
      </c>
      <c r="L40" s="211">
        <f>L39*'گردش توليد و مواد ( A)'!$R46%</f>
        <v>964.80000000000007</v>
      </c>
      <c r="M40" s="211">
        <f>M39*'گردش توليد و مواد ( A)'!$R46%</f>
        <v>804.80000000000007</v>
      </c>
      <c r="N40" s="211" t="s">
        <v>29</v>
      </c>
      <c r="O40" s="744"/>
    </row>
    <row r="41" spans="1:15">
      <c r="A41" s="211">
        <f>M41</f>
        <v>2000</v>
      </c>
      <c r="B41" s="211">
        <f t="shared" ref="B41" si="81">C40</f>
        <v>2025.6000000000001</v>
      </c>
      <c r="C41" s="211">
        <f t="shared" ref="C41" si="82">D40</f>
        <v>1832.6400000000003</v>
      </c>
      <c r="D41" s="211">
        <f t="shared" ref="D41" si="83">E40</f>
        <v>1543.68</v>
      </c>
      <c r="E41" s="211">
        <f t="shared" ref="E41" si="84">F40</f>
        <v>1543.68</v>
      </c>
      <c r="F41" s="211">
        <f t="shared" ref="F41" si="85">G40</f>
        <v>1831.68</v>
      </c>
      <c r="G41" s="211">
        <f t="shared" ref="G41" si="86">H40</f>
        <v>964.80000000000007</v>
      </c>
      <c r="H41" s="211">
        <f t="shared" ref="H41" si="87">I40</f>
        <v>964.80000000000007</v>
      </c>
      <c r="I41" s="211">
        <f t="shared" ref="I41" si="88">J40</f>
        <v>964.80000000000007</v>
      </c>
      <c r="J41" s="211">
        <f t="shared" ref="J41" si="89">K40</f>
        <v>964.80000000000007</v>
      </c>
      <c r="K41" s="211">
        <f t="shared" ref="K41" si="90">L40</f>
        <v>964.80000000000007</v>
      </c>
      <c r="L41" s="211">
        <f>M40</f>
        <v>804.80000000000007</v>
      </c>
      <c r="M41" s="211">
        <f>'اطاعات تفصیلی سال قبل'!U32</f>
        <v>2000</v>
      </c>
      <c r="N41" s="211" t="s">
        <v>396</v>
      </c>
      <c r="O41" s="744"/>
    </row>
    <row r="42" spans="1:15">
      <c r="A42" s="220">
        <f t="shared" ref="A42:L42" si="91">A39+A40-A41</f>
        <v>20349.199999999997</v>
      </c>
      <c r="B42" s="220">
        <f t="shared" si="91"/>
        <v>2316</v>
      </c>
      <c r="C42" s="220">
        <f t="shared" si="91"/>
        <v>2724.96</v>
      </c>
      <c r="D42" s="220">
        <f t="shared" si="91"/>
        <v>2579.7600000000002</v>
      </c>
      <c r="E42" s="220">
        <f t="shared" si="91"/>
        <v>1929.5999999999997</v>
      </c>
      <c r="F42" s="220">
        <f t="shared" si="91"/>
        <v>1641.5999999999997</v>
      </c>
      <c r="G42" s="220">
        <f t="shared" si="91"/>
        <v>3156.4799999999996</v>
      </c>
      <c r="H42" s="220">
        <f t="shared" si="91"/>
        <v>1206</v>
      </c>
      <c r="I42" s="220">
        <f t="shared" si="91"/>
        <v>1206</v>
      </c>
      <c r="J42" s="220">
        <f t="shared" si="91"/>
        <v>1206</v>
      </c>
      <c r="K42" s="220">
        <f t="shared" si="91"/>
        <v>1206</v>
      </c>
      <c r="L42" s="220">
        <f t="shared" si="91"/>
        <v>1366</v>
      </c>
      <c r="M42" s="220">
        <f>M39+M40-M41</f>
        <v>-189.19999999999982</v>
      </c>
      <c r="N42" s="220" t="s">
        <v>399</v>
      </c>
      <c r="O42" s="744"/>
    </row>
    <row r="43" spans="1:15">
      <c r="A43" s="220"/>
      <c r="B43" s="220">
        <f t="shared" ref="B43" si="92">C43</f>
        <v>200000</v>
      </c>
      <c r="C43" s="220">
        <f t="shared" ref="C43" si="93">D43</f>
        <v>200000</v>
      </c>
      <c r="D43" s="220">
        <f t="shared" ref="D43" si="94">E43</f>
        <v>200000</v>
      </c>
      <c r="E43" s="220">
        <f t="shared" ref="E43" si="95">F43</f>
        <v>200000</v>
      </c>
      <c r="F43" s="220">
        <f t="shared" ref="F43" si="96">G43</f>
        <v>200000</v>
      </c>
      <c r="G43" s="220">
        <f t="shared" ref="G43" si="97">H43</f>
        <v>200000</v>
      </c>
      <c r="H43" s="220">
        <f t="shared" ref="H43" si="98">I43</f>
        <v>200000</v>
      </c>
      <c r="I43" s="220">
        <f t="shared" ref="I43" si="99">J43</f>
        <v>200000</v>
      </c>
      <c r="J43" s="220">
        <f t="shared" ref="J43" si="100">K43</f>
        <v>200000</v>
      </c>
      <c r="K43" s="220">
        <f t="shared" ref="K43" si="101">L43</f>
        <v>200000</v>
      </c>
      <c r="L43" s="220">
        <f>M43</f>
        <v>200000</v>
      </c>
      <c r="M43" s="220">
        <f>bom!K7</f>
        <v>200000</v>
      </c>
      <c r="N43" s="220" t="s">
        <v>30</v>
      </c>
      <c r="O43" s="744"/>
    </row>
    <row r="44" spans="1:15">
      <c r="A44" s="215">
        <f>SUM(B44:M44)</f>
        <v>4069840000</v>
      </c>
      <c r="B44" s="213">
        <f t="shared" ref="B44:L44" si="102">B42*B43</f>
        <v>463200000</v>
      </c>
      <c r="C44" s="213">
        <f t="shared" si="102"/>
        <v>544992000</v>
      </c>
      <c r="D44" s="213">
        <f t="shared" si="102"/>
        <v>515952000.00000006</v>
      </c>
      <c r="E44" s="213">
        <f t="shared" si="102"/>
        <v>385919999.99999994</v>
      </c>
      <c r="F44" s="213">
        <f t="shared" si="102"/>
        <v>328319999.99999994</v>
      </c>
      <c r="G44" s="213">
        <f t="shared" si="102"/>
        <v>631295999.99999988</v>
      </c>
      <c r="H44" s="213">
        <f t="shared" si="102"/>
        <v>241200000</v>
      </c>
      <c r="I44" s="213">
        <f t="shared" si="102"/>
        <v>241200000</v>
      </c>
      <c r="J44" s="213">
        <f t="shared" si="102"/>
        <v>241200000</v>
      </c>
      <c r="K44" s="213">
        <f t="shared" si="102"/>
        <v>241200000</v>
      </c>
      <c r="L44" s="213">
        <f t="shared" si="102"/>
        <v>273200000</v>
      </c>
      <c r="M44" s="213">
        <f>M42*M43</f>
        <v>-37839999.999999963</v>
      </c>
      <c r="N44" s="213" t="s">
        <v>398</v>
      </c>
      <c r="O44" s="745"/>
    </row>
    <row r="47" spans="1:15">
      <c r="A47" s="212" t="s">
        <v>12</v>
      </c>
      <c r="B47" s="212">
        <v>12</v>
      </c>
      <c r="C47" s="212">
        <v>11</v>
      </c>
      <c r="D47" s="212">
        <v>10</v>
      </c>
      <c r="E47" s="212">
        <v>9</v>
      </c>
      <c r="F47" s="212">
        <v>8</v>
      </c>
      <c r="G47" s="212">
        <v>7</v>
      </c>
      <c r="H47" s="212">
        <v>6</v>
      </c>
      <c r="I47" s="212">
        <v>5</v>
      </c>
      <c r="J47" s="212">
        <v>4</v>
      </c>
      <c r="K47" s="212">
        <v>3</v>
      </c>
      <c r="L47" s="212">
        <v>2</v>
      </c>
      <c r="M47" s="212">
        <v>1</v>
      </c>
      <c r="N47" s="212" t="s">
        <v>397</v>
      </c>
      <c r="O47" s="743" t="s">
        <v>417</v>
      </c>
    </row>
    <row r="48" spans="1:15">
      <c r="A48" s="211">
        <f>SUM(B48:M48)</f>
        <v>11410</v>
      </c>
      <c r="B48" s="211">
        <f>'گردش توليد و مواد B'!E9</f>
        <v>1010</v>
      </c>
      <c r="C48" s="211">
        <f>'گردش توليد و مواد B'!F9</f>
        <v>1010</v>
      </c>
      <c r="D48" s="211">
        <f>'گردش توليد و مواد B'!G9</f>
        <v>1010</v>
      </c>
      <c r="E48" s="211">
        <f>'گردش توليد و مواد B'!H9</f>
        <v>1010</v>
      </c>
      <c r="F48" s="211">
        <f>'گردش توليد و مواد B'!I9</f>
        <v>1010</v>
      </c>
      <c r="G48" s="211">
        <f>'گردش توليد و مواد B'!J9</f>
        <v>1010</v>
      </c>
      <c r="H48" s="211">
        <f>'گردش توليد و مواد B'!K9</f>
        <v>1190</v>
      </c>
      <c r="I48" s="211">
        <f>'گردش توليد و مواد B'!L9</f>
        <v>808</v>
      </c>
      <c r="J48" s="211">
        <f>'گردش توليد و مواد B'!M9</f>
        <v>808</v>
      </c>
      <c r="K48" s="211">
        <f>'گردش توليد و مواد B'!N9</f>
        <v>808</v>
      </c>
      <c r="L48" s="211">
        <f>'گردش توليد و مواد B'!O9</f>
        <v>808</v>
      </c>
      <c r="M48" s="211">
        <f>'گردش توليد و مواد B'!P9</f>
        <v>928</v>
      </c>
      <c r="N48" s="211" t="s">
        <v>394</v>
      </c>
      <c r="O48" s="744"/>
    </row>
    <row r="49" spans="1:15">
      <c r="B49" s="214">
        <f t="shared" ref="B49" si="103">C49</f>
        <v>0.7</v>
      </c>
      <c r="C49" s="214">
        <f t="shared" ref="C49" si="104">D49</f>
        <v>0.7</v>
      </c>
      <c r="D49" s="214">
        <f t="shared" ref="D49" si="105">E49</f>
        <v>0.7</v>
      </c>
      <c r="E49" s="214">
        <f t="shared" ref="E49" si="106">F49</f>
        <v>0.7</v>
      </c>
      <c r="F49" s="214">
        <f t="shared" ref="F49" si="107">G49</f>
        <v>0.7</v>
      </c>
      <c r="G49" s="214">
        <f t="shared" ref="G49" si="108">H49</f>
        <v>0.7</v>
      </c>
      <c r="H49" s="214">
        <f t="shared" ref="H49" si="109">I49</f>
        <v>0.7</v>
      </c>
      <c r="I49" s="214">
        <f t="shared" ref="I49" si="110">J49</f>
        <v>0.7</v>
      </c>
      <c r="J49" s="214">
        <f t="shared" ref="J49" si="111">K49</f>
        <v>0.7</v>
      </c>
      <c r="K49" s="214">
        <f t="shared" ref="K49" si="112">L49</f>
        <v>0.7</v>
      </c>
      <c r="L49" s="214">
        <f>M49</f>
        <v>0.7</v>
      </c>
      <c r="M49" s="214">
        <f>bom!I7</f>
        <v>0.7</v>
      </c>
      <c r="N49" s="211" t="s">
        <v>400</v>
      </c>
      <c r="O49" s="744"/>
    </row>
    <row r="50" spans="1:15">
      <c r="A50" s="211">
        <f>SUM(B50:M50)</f>
        <v>7987.0000000000018</v>
      </c>
      <c r="B50" s="211">
        <f t="shared" ref="B50:L50" si="113">B48*B49</f>
        <v>707</v>
      </c>
      <c r="C50" s="211">
        <f t="shared" si="113"/>
        <v>707</v>
      </c>
      <c r="D50" s="211">
        <f t="shared" si="113"/>
        <v>707</v>
      </c>
      <c r="E50" s="211">
        <f t="shared" si="113"/>
        <v>707</v>
      </c>
      <c r="F50" s="211">
        <f t="shared" si="113"/>
        <v>707</v>
      </c>
      <c r="G50" s="211">
        <f t="shared" si="113"/>
        <v>707</v>
      </c>
      <c r="H50" s="211">
        <f t="shared" si="113"/>
        <v>833</v>
      </c>
      <c r="I50" s="211">
        <f t="shared" si="113"/>
        <v>565.59999999999991</v>
      </c>
      <c r="J50" s="211">
        <f t="shared" si="113"/>
        <v>565.59999999999991</v>
      </c>
      <c r="K50" s="211">
        <f t="shared" si="113"/>
        <v>565.59999999999991</v>
      </c>
      <c r="L50" s="211">
        <f t="shared" si="113"/>
        <v>565.59999999999991</v>
      </c>
      <c r="M50" s="211">
        <f>M48*M49</f>
        <v>649.59999999999991</v>
      </c>
      <c r="N50" s="211" t="s">
        <v>395</v>
      </c>
      <c r="O50" s="744"/>
    </row>
    <row r="51" spans="1:15">
      <c r="A51" s="211">
        <f>B51</f>
        <v>353.5</v>
      </c>
      <c r="B51" s="211">
        <f>B50*'گردش توليد و مواد B'!$R46%</f>
        <v>353.5</v>
      </c>
      <c r="C51" s="211">
        <f>C50*'گردش توليد و مواد B'!$R46%</f>
        <v>353.5</v>
      </c>
      <c r="D51" s="211">
        <f>D50*'گردش توليد و مواد B'!$R46%</f>
        <v>353.5</v>
      </c>
      <c r="E51" s="211">
        <f>E50*'گردش توليد و مواد B'!$R46%</f>
        <v>353.5</v>
      </c>
      <c r="F51" s="211">
        <f>F50*'گردش توليد و مواد B'!$R46%</f>
        <v>353.5</v>
      </c>
      <c r="G51" s="211">
        <f>G50*'گردش توليد و مواد B'!$R46%</f>
        <v>353.5</v>
      </c>
      <c r="H51" s="211">
        <f>H50*'گردش توليد و مواد B'!$R46%</f>
        <v>416.5</v>
      </c>
      <c r="I51" s="211">
        <f>I50*'گردش توليد و مواد B'!$R46%</f>
        <v>282.79999999999995</v>
      </c>
      <c r="J51" s="211">
        <f>J50*'گردش توليد و مواد B'!$R46%</f>
        <v>282.79999999999995</v>
      </c>
      <c r="K51" s="211">
        <f>K50*'گردش توليد و مواد B'!$R46%</f>
        <v>282.79999999999995</v>
      </c>
      <c r="L51" s="211">
        <f>L50*'گردش توليد و مواد B'!$R46%</f>
        <v>282.79999999999995</v>
      </c>
      <c r="M51" s="211">
        <f>M50*'گردش توليد و مواد B'!$R46%</f>
        <v>324.79999999999995</v>
      </c>
      <c r="N51" s="211" t="s">
        <v>29</v>
      </c>
      <c r="O51" s="744"/>
    </row>
    <row r="52" spans="1:15">
      <c r="A52" s="211">
        <f>M52</f>
        <v>0</v>
      </c>
      <c r="B52" s="211">
        <f t="shared" ref="B52" si="114">C51</f>
        <v>353.5</v>
      </c>
      <c r="C52" s="211">
        <f t="shared" ref="C52" si="115">D51</f>
        <v>353.5</v>
      </c>
      <c r="D52" s="211">
        <f t="shared" ref="D52" si="116">E51</f>
        <v>353.5</v>
      </c>
      <c r="E52" s="211">
        <f t="shared" ref="E52" si="117">F51</f>
        <v>353.5</v>
      </c>
      <c r="F52" s="211">
        <f t="shared" ref="F52" si="118">G51</f>
        <v>353.5</v>
      </c>
      <c r="G52" s="211">
        <f t="shared" ref="G52" si="119">H51</f>
        <v>416.5</v>
      </c>
      <c r="H52" s="211">
        <f t="shared" ref="H52" si="120">I51</f>
        <v>282.79999999999995</v>
      </c>
      <c r="I52" s="211">
        <f t="shared" ref="I52" si="121">J51</f>
        <v>282.79999999999995</v>
      </c>
      <c r="J52" s="211">
        <f t="shared" ref="J52" si="122">K51</f>
        <v>282.79999999999995</v>
      </c>
      <c r="K52" s="211">
        <f t="shared" ref="K52" si="123">L51</f>
        <v>282.79999999999995</v>
      </c>
      <c r="L52" s="211">
        <f>M51</f>
        <v>324.79999999999995</v>
      </c>
      <c r="M52" s="211">
        <v>0</v>
      </c>
      <c r="N52" s="211" t="s">
        <v>396</v>
      </c>
      <c r="O52" s="744"/>
    </row>
    <row r="53" spans="1:15">
      <c r="A53" s="220">
        <f t="shared" ref="A53:L53" si="124">A50+A51-A52</f>
        <v>8340.5000000000018</v>
      </c>
      <c r="B53" s="220">
        <f t="shared" si="124"/>
        <v>707</v>
      </c>
      <c r="C53" s="220">
        <f t="shared" si="124"/>
        <v>707</v>
      </c>
      <c r="D53" s="220">
        <f t="shared" si="124"/>
        <v>707</v>
      </c>
      <c r="E53" s="220">
        <f t="shared" si="124"/>
        <v>707</v>
      </c>
      <c r="F53" s="220">
        <f t="shared" si="124"/>
        <v>707</v>
      </c>
      <c r="G53" s="220">
        <f t="shared" si="124"/>
        <v>644</v>
      </c>
      <c r="H53" s="220">
        <f t="shared" si="124"/>
        <v>966.7</v>
      </c>
      <c r="I53" s="220">
        <f t="shared" si="124"/>
        <v>565.59999999999991</v>
      </c>
      <c r="J53" s="220">
        <f t="shared" si="124"/>
        <v>565.59999999999991</v>
      </c>
      <c r="K53" s="220">
        <f t="shared" si="124"/>
        <v>565.59999999999991</v>
      </c>
      <c r="L53" s="220">
        <f t="shared" si="124"/>
        <v>523.59999999999991</v>
      </c>
      <c r="M53" s="220">
        <f>M50+M51-M52</f>
        <v>974.39999999999986</v>
      </c>
      <c r="N53" s="220" t="s">
        <v>399</v>
      </c>
      <c r="O53" s="744"/>
    </row>
    <row r="54" spans="1:15">
      <c r="A54" s="220"/>
      <c r="B54" s="220">
        <f t="shared" ref="B54" si="125">C54</f>
        <v>200000</v>
      </c>
      <c r="C54" s="220">
        <f t="shared" ref="C54" si="126">D54</f>
        <v>200000</v>
      </c>
      <c r="D54" s="220">
        <f t="shared" ref="D54" si="127">E54</f>
        <v>200000</v>
      </c>
      <c r="E54" s="220">
        <f t="shared" ref="E54" si="128">F54</f>
        <v>200000</v>
      </c>
      <c r="F54" s="220">
        <f t="shared" ref="F54" si="129">G54</f>
        <v>200000</v>
      </c>
      <c r="G54" s="220">
        <f t="shared" ref="G54" si="130">H54</f>
        <v>200000</v>
      </c>
      <c r="H54" s="220">
        <f t="shared" ref="H54" si="131">I54</f>
        <v>200000</v>
      </c>
      <c r="I54" s="220">
        <f t="shared" ref="I54" si="132">J54</f>
        <v>200000</v>
      </c>
      <c r="J54" s="220">
        <f t="shared" ref="J54" si="133">K54</f>
        <v>200000</v>
      </c>
      <c r="K54" s="220">
        <f t="shared" ref="K54" si="134">L54</f>
        <v>200000</v>
      </c>
      <c r="L54" s="220">
        <f>M54</f>
        <v>200000</v>
      </c>
      <c r="M54" s="220">
        <f>bom!K7</f>
        <v>200000</v>
      </c>
      <c r="N54" s="220" t="s">
        <v>30</v>
      </c>
      <c r="O54" s="744"/>
    </row>
    <row r="55" spans="1:15">
      <c r="A55" s="215">
        <f>SUM(B55:M55)</f>
        <v>1668100000</v>
      </c>
      <c r="B55" s="213">
        <f t="shared" ref="B55:L55" si="135">B53*B54</f>
        <v>141400000</v>
      </c>
      <c r="C55" s="213">
        <f t="shared" si="135"/>
        <v>141400000</v>
      </c>
      <c r="D55" s="213">
        <f t="shared" si="135"/>
        <v>141400000</v>
      </c>
      <c r="E55" s="213">
        <f t="shared" si="135"/>
        <v>141400000</v>
      </c>
      <c r="F55" s="213">
        <f t="shared" si="135"/>
        <v>141400000</v>
      </c>
      <c r="G55" s="213">
        <f t="shared" si="135"/>
        <v>128800000</v>
      </c>
      <c r="H55" s="213">
        <f t="shared" si="135"/>
        <v>193340000</v>
      </c>
      <c r="I55" s="213">
        <f t="shared" si="135"/>
        <v>113119999.99999999</v>
      </c>
      <c r="J55" s="213">
        <f t="shared" si="135"/>
        <v>113119999.99999999</v>
      </c>
      <c r="K55" s="213">
        <f t="shared" si="135"/>
        <v>113119999.99999999</v>
      </c>
      <c r="L55" s="213">
        <f t="shared" si="135"/>
        <v>104719999.99999999</v>
      </c>
      <c r="M55" s="213">
        <f>M53*M54</f>
        <v>194879999.99999997</v>
      </c>
      <c r="N55" s="213" t="s">
        <v>398</v>
      </c>
      <c r="O55" s="745"/>
    </row>
    <row r="60" spans="1:15">
      <c r="A60" s="212" t="s">
        <v>12</v>
      </c>
      <c r="B60" s="212">
        <v>12</v>
      </c>
      <c r="C60" s="212">
        <v>11</v>
      </c>
      <c r="D60" s="212">
        <v>10</v>
      </c>
      <c r="E60" s="212">
        <v>9</v>
      </c>
      <c r="F60" s="212">
        <v>8</v>
      </c>
      <c r="G60" s="212">
        <v>7</v>
      </c>
      <c r="H60" s="212">
        <v>6</v>
      </c>
      <c r="I60" s="212">
        <v>5</v>
      </c>
      <c r="J60" s="212">
        <v>4</v>
      </c>
      <c r="K60" s="212">
        <v>3</v>
      </c>
      <c r="L60" s="212">
        <v>2</v>
      </c>
      <c r="M60" s="212">
        <v>1</v>
      </c>
      <c r="N60" s="212" t="s">
        <v>397</v>
      </c>
      <c r="O60" s="743" t="s">
        <v>447</v>
      </c>
    </row>
    <row r="61" spans="1:15">
      <c r="A61" s="211">
        <f>'گردش توليد و مواد ( A)'!D9</f>
        <v>10209.799999999999</v>
      </c>
      <c r="B61" s="211">
        <f>'گردش توليد و مواد ( A)'!E9</f>
        <v>1206</v>
      </c>
      <c r="C61" s="211">
        <f>'گردش توليد و مواد ( A)'!F9</f>
        <v>1266</v>
      </c>
      <c r="D61" s="211">
        <f>'گردش توليد و مواد ( A)'!G9</f>
        <v>1145.4000000000001</v>
      </c>
      <c r="E61" s="211">
        <f>'گردش توليد و مواد ( A)'!H9</f>
        <v>964.8</v>
      </c>
      <c r="F61" s="211">
        <f>'گردش توليد و مواد ( A)'!I9</f>
        <v>964.8</v>
      </c>
      <c r="G61" s="211">
        <f>'گردش توليد و مواد ( A)'!J9</f>
        <v>1144.8</v>
      </c>
      <c r="H61" s="211">
        <f>'گردش توليد و مواد ( A)'!K9</f>
        <v>603</v>
      </c>
      <c r="I61" s="211">
        <f>'گردش توليد و مواد ( A)'!L9</f>
        <v>603</v>
      </c>
      <c r="J61" s="211">
        <f>'گردش توليد و مواد ( A)'!M9</f>
        <v>603</v>
      </c>
      <c r="K61" s="211">
        <f>'گردش توليد و مواد ( A)'!N9</f>
        <v>603</v>
      </c>
      <c r="L61" s="211">
        <f>'گردش توليد و مواد ( A)'!O9</f>
        <v>603</v>
      </c>
      <c r="M61" s="211">
        <f>'گردش توليد و مواد ( A)'!P9</f>
        <v>503</v>
      </c>
      <c r="N61" s="211" t="s">
        <v>394</v>
      </c>
      <c r="O61" s="744"/>
    </row>
    <row r="62" spans="1:15">
      <c r="B62" s="214">
        <f t="shared" ref="B62" si="136">C62</f>
        <v>15</v>
      </c>
      <c r="C62" s="214">
        <f t="shared" ref="C62" si="137">D62</f>
        <v>15</v>
      </c>
      <c r="D62" s="214">
        <f t="shared" ref="D62" si="138">E62</f>
        <v>15</v>
      </c>
      <c r="E62" s="214">
        <f t="shared" ref="E62" si="139">F62</f>
        <v>15</v>
      </c>
      <c r="F62" s="214">
        <f t="shared" ref="F62" si="140">G62</f>
        <v>15</v>
      </c>
      <c r="G62" s="214">
        <f t="shared" ref="G62" si="141">H62</f>
        <v>15</v>
      </c>
      <c r="H62" s="214">
        <f t="shared" ref="H62" si="142">I62</f>
        <v>15</v>
      </c>
      <c r="I62" s="214">
        <f t="shared" ref="I62" si="143">J62</f>
        <v>15</v>
      </c>
      <c r="J62" s="214">
        <f t="shared" ref="J62" si="144">K62</f>
        <v>15</v>
      </c>
      <c r="K62" s="214">
        <f t="shared" ref="K62" si="145">L62</f>
        <v>15</v>
      </c>
      <c r="L62" s="214">
        <f>M62</f>
        <v>15</v>
      </c>
      <c r="M62" s="214">
        <f>bom!H8</f>
        <v>15</v>
      </c>
      <c r="N62" s="211" t="s">
        <v>400</v>
      </c>
      <c r="O62" s="744"/>
    </row>
    <row r="63" spans="1:15">
      <c r="A63" s="211">
        <f>SUM(B63:M63)</f>
        <v>153147</v>
      </c>
      <c r="B63" s="211">
        <f t="shared" ref="B63:L63" si="146">B61*B62</f>
        <v>18090</v>
      </c>
      <c r="C63" s="211">
        <f t="shared" si="146"/>
        <v>18990</v>
      </c>
      <c r="D63" s="211">
        <f t="shared" si="146"/>
        <v>17181</v>
      </c>
      <c r="E63" s="211">
        <f t="shared" si="146"/>
        <v>14472</v>
      </c>
      <c r="F63" s="211">
        <f t="shared" si="146"/>
        <v>14472</v>
      </c>
      <c r="G63" s="211">
        <f t="shared" si="146"/>
        <v>17172</v>
      </c>
      <c r="H63" s="211">
        <f t="shared" si="146"/>
        <v>9045</v>
      </c>
      <c r="I63" s="211">
        <f t="shared" si="146"/>
        <v>9045</v>
      </c>
      <c r="J63" s="211">
        <f t="shared" si="146"/>
        <v>9045</v>
      </c>
      <c r="K63" s="211">
        <f t="shared" si="146"/>
        <v>9045</v>
      </c>
      <c r="L63" s="211">
        <f t="shared" si="146"/>
        <v>9045</v>
      </c>
      <c r="M63" s="211">
        <f>M61*M62</f>
        <v>7545</v>
      </c>
      <c r="N63" s="211" t="s">
        <v>395</v>
      </c>
      <c r="O63" s="744"/>
    </row>
    <row r="64" spans="1:15">
      <c r="A64" s="211">
        <f>B64</f>
        <v>14472</v>
      </c>
      <c r="B64" s="211">
        <f>B63*'گردش توليد و مواد ( A)'!$R46%</f>
        <v>14472</v>
      </c>
      <c r="C64" s="211">
        <f>C63*'گردش توليد و مواد ( A)'!$R46%</f>
        <v>15192</v>
      </c>
      <c r="D64" s="211">
        <f>D63*'گردش توليد و مواد ( A)'!$R46%</f>
        <v>13744.800000000001</v>
      </c>
      <c r="E64" s="211">
        <f>E63*'گردش توليد و مواد ( A)'!$R46%</f>
        <v>11577.6</v>
      </c>
      <c r="F64" s="211">
        <f>F63*'گردش توليد و مواد ( A)'!$R46%</f>
        <v>11577.6</v>
      </c>
      <c r="G64" s="211">
        <f>G63*'گردش توليد و مواد ( A)'!$R46%</f>
        <v>13737.6</v>
      </c>
      <c r="H64" s="211">
        <f>H63*'گردش توليد و مواد ( A)'!$R46%</f>
        <v>7236</v>
      </c>
      <c r="I64" s="211">
        <f>I63*'گردش توليد و مواد ( A)'!$R46%</f>
        <v>7236</v>
      </c>
      <c r="J64" s="211">
        <f>J63*'گردش توليد و مواد ( A)'!$R46%</f>
        <v>7236</v>
      </c>
      <c r="K64" s="211">
        <f>K63*'گردش توليد و مواد ( A)'!$R46%</f>
        <v>7236</v>
      </c>
      <c r="L64" s="211">
        <f>L63*'گردش توليد و مواد ( A)'!$R46%</f>
        <v>7236</v>
      </c>
      <c r="M64" s="211">
        <f>M63*'گردش توليد و مواد ( A)'!$R46%</f>
        <v>6036</v>
      </c>
      <c r="N64" s="211" t="s">
        <v>29</v>
      </c>
      <c r="O64" s="744"/>
    </row>
    <row r="65" spans="1:15">
      <c r="A65" s="211">
        <f>M65</f>
        <v>0</v>
      </c>
      <c r="B65" s="211">
        <f t="shared" ref="B65" si="147">C64</f>
        <v>15192</v>
      </c>
      <c r="C65" s="211">
        <f t="shared" ref="C65" si="148">D64</f>
        <v>13744.800000000001</v>
      </c>
      <c r="D65" s="211">
        <f t="shared" ref="D65" si="149">E64</f>
        <v>11577.6</v>
      </c>
      <c r="E65" s="211">
        <f t="shared" ref="E65" si="150">F64</f>
        <v>11577.6</v>
      </c>
      <c r="F65" s="211">
        <f t="shared" ref="F65" si="151">G64</f>
        <v>13737.6</v>
      </c>
      <c r="G65" s="211">
        <f t="shared" ref="G65" si="152">H64</f>
        <v>7236</v>
      </c>
      <c r="H65" s="211">
        <f t="shared" ref="H65" si="153">I64</f>
        <v>7236</v>
      </c>
      <c r="I65" s="211">
        <f t="shared" ref="I65" si="154">J64</f>
        <v>7236</v>
      </c>
      <c r="J65" s="211">
        <f t="shared" ref="J65" si="155">K64</f>
        <v>7236</v>
      </c>
      <c r="K65" s="211">
        <f t="shared" ref="K65" si="156">L64</f>
        <v>7236</v>
      </c>
      <c r="L65" s="211">
        <f>M64</f>
        <v>6036</v>
      </c>
      <c r="M65" s="211">
        <v>0</v>
      </c>
      <c r="N65" s="211" t="s">
        <v>396</v>
      </c>
      <c r="O65" s="744"/>
    </row>
    <row r="66" spans="1:15">
      <c r="A66" s="220">
        <f t="shared" ref="A66:L66" si="157">A63+A64-A65</f>
        <v>167619</v>
      </c>
      <c r="B66" s="220">
        <f t="shared" si="157"/>
        <v>17370</v>
      </c>
      <c r="C66" s="220">
        <f t="shared" si="157"/>
        <v>20437.199999999997</v>
      </c>
      <c r="D66" s="220">
        <f t="shared" si="157"/>
        <v>19348.200000000004</v>
      </c>
      <c r="E66" s="220">
        <f t="shared" si="157"/>
        <v>14471.999999999998</v>
      </c>
      <c r="F66" s="220">
        <f t="shared" si="157"/>
        <v>12311.999999999998</v>
      </c>
      <c r="G66" s="220">
        <f t="shared" si="157"/>
        <v>23673.599999999999</v>
      </c>
      <c r="H66" s="220">
        <f t="shared" si="157"/>
        <v>9045</v>
      </c>
      <c r="I66" s="220">
        <f t="shared" si="157"/>
        <v>9045</v>
      </c>
      <c r="J66" s="220">
        <f t="shared" si="157"/>
        <v>9045</v>
      </c>
      <c r="K66" s="220">
        <f t="shared" si="157"/>
        <v>9045</v>
      </c>
      <c r="L66" s="220">
        <f t="shared" si="157"/>
        <v>10245</v>
      </c>
      <c r="M66" s="220">
        <f>M63+M64-M65</f>
        <v>13581</v>
      </c>
      <c r="N66" s="220" t="s">
        <v>399</v>
      </c>
      <c r="O66" s="744"/>
    </row>
    <row r="67" spans="1:15">
      <c r="A67" s="220"/>
      <c r="B67" s="220">
        <f t="shared" ref="B67" si="158">C67</f>
        <v>0</v>
      </c>
      <c r="C67" s="220">
        <f t="shared" ref="C67" si="159">D67</f>
        <v>0</v>
      </c>
      <c r="D67" s="220">
        <f t="shared" ref="D67" si="160">E67</f>
        <v>0</v>
      </c>
      <c r="E67" s="220">
        <f t="shared" ref="E67" si="161">F67</f>
        <v>0</v>
      </c>
      <c r="F67" s="220">
        <f t="shared" ref="F67" si="162">G67</f>
        <v>0</v>
      </c>
      <c r="G67" s="220">
        <f t="shared" ref="G67" si="163">H67</f>
        <v>0</v>
      </c>
      <c r="H67" s="220">
        <f t="shared" ref="H67" si="164">I67</f>
        <v>0</v>
      </c>
      <c r="I67" s="220">
        <f t="shared" ref="I67" si="165">J67</f>
        <v>0</v>
      </c>
      <c r="J67" s="220">
        <f t="shared" ref="J67" si="166">K67</f>
        <v>0</v>
      </c>
      <c r="K67" s="220">
        <f t="shared" ref="K67" si="167">L67</f>
        <v>0</v>
      </c>
      <c r="L67" s="220">
        <f>M67</f>
        <v>0</v>
      </c>
      <c r="M67" s="220">
        <f>bom!K18</f>
        <v>0</v>
      </c>
      <c r="N67" s="220" t="s">
        <v>30</v>
      </c>
      <c r="O67" s="744"/>
    </row>
    <row r="68" spans="1:15">
      <c r="A68" s="215">
        <f>SUM(B68:M68)</f>
        <v>0</v>
      </c>
      <c r="B68" s="213">
        <f t="shared" ref="B68:L68" si="168">B66*B67</f>
        <v>0</v>
      </c>
      <c r="C68" s="213">
        <f t="shared" si="168"/>
        <v>0</v>
      </c>
      <c r="D68" s="213">
        <f t="shared" si="168"/>
        <v>0</v>
      </c>
      <c r="E68" s="213">
        <f t="shared" si="168"/>
        <v>0</v>
      </c>
      <c r="F68" s="213">
        <f t="shared" si="168"/>
        <v>0</v>
      </c>
      <c r="G68" s="213">
        <f t="shared" si="168"/>
        <v>0</v>
      </c>
      <c r="H68" s="213">
        <f t="shared" si="168"/>
        <v>0</v>
      </c>
      <c r="I68" s="213">
        <f t="shared" si="168"/>
        <v>0</v>
      </c>
      <c r="J68" s="213">
        <f t="shared" si="168"/>
        <v>0</v>
      </c>
      <c r="K68" s="213">
        <f t="shared" si="168"/>
        <v>0</v>
      </c>
      <c r="L68" s="213">
        <f t="shared" si="168"/>
        <v>0</v>
      </c>
      <c r="M68" s="213">
        <f>M66*M67</f>
        <v>0</v>
      </c>
      <c r="N68" s="213" t="s">
        <v>398</v>
      </c>
      <c r="O68" s="745"/>
    </row>
    <row r="71" spans="1:15">
      <c r="A71" s="212" t="s">
        <v>12</v>
      </c>
      <c r="B71" s="212">
        <v>12</v>
      </c>
      <c r="C71" s="212">
        <v>11</v>
      </c>
      <c r="D71" s="212">
        <v>10</v>
      </c>
      <c r="E71" s="212">
        <v>9</v>
      </c>
      <c r="F71" s="212">
        <v>8</v>
      </c>
      <c r="G71" s="212">
        <v>7</v>
      </c>
      <c r="H71" s="212">
        <v>6</v>
      </c>
      <c r="I71" s="212">
        <v>5</v>
      </c>
      <c r="J71" s="212">
        <v>4</v>
      </c>
      <c r="K71" s="212">
        <v>3</v>
      </c>
      <c r="L71" s="212">
        <v>2</v>
      </c>
      <c r="M71" s="212">
        <v>1</v>
      </c>
      <c r="N71" s="212" t="s">
        <v>397</v>
      </c>
      <c r="O71" s="743" t="s">
        <v>448</v>
      </c>
    </row>
    <row r="72" spans="1:15">
      <c r="A72" s="211">
        <f>SUM(B72:M72)</f>
        <v>10953600000</v>
      </c>
      <c r="B72" s="211">
        <f>'گردش توليد و مواد B'!E43</f>
        <v>969600000</v>
      </c>
      <c r="C72" s="211">
        <f>'گردش توليد و مواد B'!F43</f>
        <v>969600000</v>
      </c>
      <c r="D72" s="211">
        <f>'گردش توليد و مواد B'!G43</f>
        <v>969600000</v>
      </c>
      <c r="E72" s="211">
        <f>'گردش توليد و مواد B'!H43</f>
        <v>969600000</v>
      </c>
      <c r="F72" s="211">
        <f>'گردش توليد و مواد B'!I43</f>
        <v>969600000</v>
      </c>
      <c r="G72" s="211">
        <f>'گردش توليد و مواد B'!J43</f>
        <v>969600000</v>
      </c>
      <c r="H72" s="211">
        <f>'گردش توليد و مواد B'!K43</f>
        <v>1142400000</v>
      </c>
      <c r="I72" s="211">
        <f>'گردش توليد و مواد B'!L43</f>
        <v>775680000</v>
      </c>
      <c r="J72" s="211">
        <f>'گردش توليد و مواد B'!M43</f>
        <v>775680000</v>
      </c>
      <c r="K72" s="211">
        <f>'گردش توليد و مواد B'!N43</f>
        <v>775680000</v>
      </c>
      <c r="L72" s="211">
        <f>'گردش توليد و مواد B'!O43</f>
        <v>775680000</v>
      </c>
      <c r="M72" s="211">
        <f>'گردش توليد و مواد B'!P43</f>
        <v>890880000</v>
      </c>
      <c r="N72" s="211" t="s">
        <v>394</v>
      </c>
      <c r="O72" s="744"/>
    </row>
    <row r="73" spans="1:15">
      <c r="B73" s="214">
        <f t="shared" ref="B73" si="169">C73</f>
        <v>3</v>
      </c>
      <c r="C73" s="214">
        <f t="shared" ref="C73" si="170">D73</f>
        <v>3</v>
      </c>
      <c r="D73" s="214">
        <f t="shared" ref="D73" si="171">E73</f>
        <v>3</v>
      </c>
      <c r="E73" s="214">
        <f t="shared" ref="E73" si="172">F73</f>
        <v>3</v>
      </c>
      <c r="F73" s="214">
        <f t="shared" ref="F73" si="173">G73</f>
        <v>3</v>
      </c>
      <c r="G73" s="214">
        <f t="shared" ref="G73" si="174">H73</f>
        <v>3</v>
      </c>
      <c r="H73" s="214">
        <f t="shared" ref="H73" si="175">I73</f>
        <v>3</v>
      </c>
      <c r="I73" s="214">
        <f t="shared" ref="I73" si="176">J73</f>
        <v>3</v>
      </c>
      <c r="J73" s="214">
        <f t="shared" ref="J73" si="177">K73</f>
        <v>3</v>
      </c>
      <c r="K73" s="214">
        <f t="shared" ref="K73" si="178">L73</f>
        <v>3</v>
      </c>
      <c r="L73" s="214">
        <f>M73</f>
        <v>3</v>
      </c>
      <c r="M73" s="214">
        <f>bom!I8</f>
        <v>3</v>
      </c>
      <c r="N73" s="211" t="s">
        <v>400</v>
      </c>
      <c r="O73" s="744"/>
    </row>
    <row r="74" spans="1:15">
      <c r="A74" s="211">
        <f>SUM(B74:M74)</f>
        <v>32860800000</v>
      </c>
      <c r="B74" s="211">
        <f t="shared" ref="B74:L74" si="179">B72*B73</f>
        <v>2908800000</v>
      </c>
      <c r="C74" s="211">
        <f t="shared" si="179"/>
        <v>2908800000</v>
      </c>
      <c r="D74" s="211">
        <f t="shared" si="179"/>
        <v>2908800000</v>
      </c>
      <c r="E74" s="211">
        <f t="shared" si="179"/>
        <v>2908800000</v>
      </c>
      <c r="F74" s="211">
        <f t="shared" si="179"/>
        <v>2908800000</v>
      </c>
      <c r="G74" s="211">
        <f t="shared" si="179"/>
        <v>2908800000</v>
      </c>
      <c r="H74" s="211">
        <f t="shared" si="179"/>
        <v>3427200000</v>
      </c>
      <c r="I74" s="211">
        <f t="shared" si="179"/>
        <v>2327040000</v>
      </c>
      <c r="J74" s="211">
        <f t="shared" si="179"/>
        <v>2327040000</v>
      </c>
      <c r="K74" s="211">
        <f t="shared" si="179"/>
        <v>2327040000</v>
      </c>
      <c r="L74" s="211">
        <f t="shared" si="179"/>
        <v>2327040000</v>
      </c>
      <c r="M74" s="211">
        <f>M72*M73</f>
        <v>2672640000</v>
      </c>
      <c r="N74" s="211" t="s">
        <v>395</v>
      </c>
      <c r="O74" s="744"/>
    </row>
    <row r="75" spans="1:15">
      <c r="A75" s="211">
        <f>B75</f>
        <v>1454400000</v>
      </c>
      <c r="B75" s="211">
        <f>B74*'گردش توليد و مواد B'!$R46%</f>
        <v>1454400000</v>
      </c>
      <c r="C75" s="211">
        <f>C74*'گردش توليد و مواد B'!$R46%</f>
        <v>1454400000</v>
      </c>
      <c r="D75" s="211">
        <f>D74*'گردش توليد و مواد B'!$R46%</f>
        <v>1454400000</v>
      </c>
      <c r="E75" s="211">
        <f>E74*'گردش توليد و مواد B'!$R46%</f>
        <v>1454400000</v>
      </c>
      <c r="F75" s="211">
        <f>F74*'گردش توليد و مواد B'!$R46%</f>
        <v>1454400000</v>
      </c>
      <c r="G75" s="211">
        <f>G74*'گردش توليد و مواد B'!$R46%</f>
        <v>1454400000</v>
      </c>
      <c r="H75" s="211">
        <f>H74*'گردش توليد و مواد B'!$R46%</f>
        <v>1713600000</v>
      </c>
      <c r="I75" s="211">
        <f>I74*'گردش توليد و مواد B'!$R46%</f>
        <v>1163520000</v>
      </c>
      <c r="J75" s="211">
        <f>J74*'گردش توليد و مواد B'!$R46%</f>
        <v>1163520000</v>
      </c>
      <c r="K75" s="211">
        <f>K74*'گردش توليد و مواد B'!$R46%</f>
        <v>1163520000</v>
      </c>
      <c r="L75" s="211">
        <f>L74*'گردش توليد و مواد B'!$R46%</f>
        <v>1163520000</v>
      </c>
      <c r="M75" s="211">
        <f>M74*'گردش توليد و مواد B'!$R46%</f>
        <v>1336320000</v>
      </c>
      <c r="N75" s="211" t="s">
        <v>29</v>
      </c>
      <c r="O75" s="744"/>
    </row>
    <row r="76" spans="1:15">
      <c r="A76" s="211">
        <f>M76</f>
        <v>0</v>
      </c>
      <c r="B76" s="211">
        <f t="shared" ref="B76" si="180">C75</f>
        <v>1454400000</v>
      </c>
      <c r="C76" s="211">
        <f t="shared" ref="C76" si="181">D75</f>
        <v>1454400000</v>
      </c>
      <c r="D76" s="211">
        <f t="shared" ref="D76" si="182">E75</f>
        <v>1454400000</v>
      </c>
      <c r="E76" s="211">
        <f t="shared" ref="E76" si="183">F75</f>
        <v>1454400000</v>
      </c>
      <c r="F76" s="211">
        <f t="shared" ref="F76" si="184">G75</f>
        <v>1454400000</v>
      </c>
      <c r="G76" s="211">
        <f t="shared" ref="G76" si="185">H75</f>
        <v>1713600000</v>
      </c>
      <c r="H76" s="211">
        <f t="shared" ref="H76" si="186">I75</f>
        <v>1163520000</v>
      </c>
      <c r="I76" s="211">
        <f t="shared" ref="I76" si="187">J75</f>
        <v>1163520000</v>
      </c>
      <c r="J76" s="211">
        <f t="shared" ref="J76" si="188">K75</f>
        <v>1163520000</v>
      </c>
      <c r="K76" s="211">
        <f t="shared" ref="K76" si="189">L75</f>
        <v>1163520000</v>
      </c>
      <c r="L76" s="211">
        <f>M75</f>
        <v>1336320000</v>
      </c>
      <c r="M76" s="211">
        <v>0</v>
      </c>
      <c r="N76" s="211" t="s">
        <v>396</v>
      </c>
      <c r="O76" s="744"/>
    </row>
    <row r="77" spans="1:15">
      <c r="A77" s="220">
        <f t="shared" ref="A77:L77" si="190">A74+A75-A76</f>
        <v>34315200000</v>
      </c>
      <c r="B77" s="220">
        <f t="shared" si="190"/>
        <v>2908800000</v>
      </c>
      <c r="C77" s="220">
        <f t="shared" si="190"/>
        <v>2908800000</v>
      </c>
      <c r="D77" s="220">
        <f t="shared" si="190"/>
        <v>2908800000</v>
      </c>
      <c r="E77" s="220">
        <f t="shared" si="190"/>
        <v>2908800000</v>
      </c>
      <c r="F77" s="220">
        <f t="shared" si="190"/>
        <v>2908800000</v>
      </c>
      <c r="G77" s="220">
        <f t="shared" si="190"/>
        <v>2649600000</v>
      </c>
      <c r="H77" s="220">
        <f t="shared" si="190"/>
        <v>3977280000</v>
      </c>
      <c r="I77" s="220">
        <f t="shared" si="190"/>
        <v>2327040000</v>
      </c>
      <c r="J77" s="220">
        <f t="shared" si="190"/>
        <v>2327040000</v>
      </c>
      <c r="K77" s="220">
        <f t="shared" si="190"/>
        <v>2327040000</v>
      </c>
      <c r="L77" s="220">
        <f t="shared" si="190"/>
        <v>2154240000</v>
      </c>
      <c r="M77" s="220">
        <f>M74+M75-M76</f>
        <v>4008960000</v>
      </c>
      <c r="N77" s="220" t="s">
        <v>399</v>
      </c>
      <c r="O77" s="744"/>
    </row>
    <row r="78" spans="1:15">
      <c r="A78" s="220"/>
      <c r="B78" s="220">
        <f t="shared" ref="B78" si="191">C78</f>
        <v>0</v>
      </c>
      <c r="C78" s="220">
        <f t="shared" ref="C78" si="192">D78</f>
        <v>0</v>
      </c>
      <c r="D78" s="220">
        <f t="shared" ref="D78" si="193">E78</f>
        <v>0</v>
      </c>
      <c r="E78" s="220">
        <f t="shared" ref="E78" si="194">F78</f>
        <v>0</v>
      </c>
      <c r="F78" s="220">
        <f t="shared" ref="F78" si="195">G78</f>
        <v>0</v>
      </c>
      <c r="G78" s="220">
        <f t="shared" ref="G78" si="196">H78</f>
        <v>0</v>
      </c>
      <c r="H78" s="220">
        <f t="shared" ref="H78" si="197">I78</f>
        <v>0</v>
      </c>
      <c r="I78" s="220">
        <f t="shared" ref="I78" si="198">J78</f>
        <v>0</v>
      </c>
      <c r="J78" s="220">
        <f t="shared" ref="J78" si="199">K78</f>
        <v>0</v>
      </c>
      <c r="K78" s="220">
        <f t="shared" ref="K78" si="200">L78</f>
        <v>0</v>
      </c>
      <c r="L78" s="220">
        <f>M78</f>
        <v>0</v>
      </c>
      <c r="M78" s="220">
        <f>bom!K40</f>
        <v>0</v>
      </c>
      <c r="N78" s="220" t="s">
        <v>30</v>
      </c>
      <c r="O78" s="744"/>
    </row>
    <row r="79" spans="1:15">
      <c r="A79" s="215">
        <f>SUM(B79:M79)</f>
        <v>0</v>
      </c>
      <c r="B79" s="213">
        <f t="shared" ref="B79:L79" si="201">B77*B78</f>
        <v>0</v>
      </c>
      <c r="C79" s="213">
        <f t="shared" si="201"/>
        <v>0</v>
      </c>
      <c r="D79" s="213">
        <f t="shared" si="201"/>
        <v>0</v>
      </c>
      <c r="E79" s="213">
        <f t="shared" si="201"/>
        <v>0</v>
      </c>
      <c r="F79" s="213">
        <f t="shared" si="201"/>
        <v>0</v>
      </c>
      <c r="G79" s="213">
        <f t="shared" si="201"/>
        <v>0</v>
      </c>
      <c r="H79" s="213">
        <f t="shared" si="201"/>
        <v>0</v>
      </c>
      <c r="I79" s="213">
        <f t="shared" si="201"/>
        <v>0</v>
      </c>
      <c r="J79" s="213">
        <f t="shared" si="201"/>
        <v>0</v>
      </c>
      <c r="K79" s="213">
        <f t="shared" si="201"/>
        <v>0</v>
      </c>
      <c r="L79" s="213">
        <f t="shared" si="201"/>
        <v>0</v>
      </c>
      <c r="M79" s="213">
        <f>M77*M78</f>
        <v>0</v>
      </c>
      <c r="N79" s="213" t="s">
        <v>398</v>
      </c>
      <c r="O79" s="745"/>
    </row>
    <row r="82" spans="1:15">
      <c r="A82" s="212" t="s">
        <v>12</v>
      </c>
      <c r="B82" s="212">
        <v>12</v>
      </c>
      <c r="C82" s="212">
        <v>11</v>
      </c>
      <c r="D82" s="212">
        <v>10</v>
      </c>
      <c r="E82" s="212">
        <v>9</v>
      </c>
      <c r="F82" s="212">
        <v>8</v>
      </c>
      <c r="G82" s="212">
        <v>7</v>
      </c>
      <c r="H82" s="212">
        <v>6</v>
      </c>
      <c r="I82" s="212">
        <v>5</v>
      </c>
      <c r="J82" s="212">
        <v>4</v>
      </c>
      <c r="K82" s="212">
        <v>3</v>
      </c>
      <c r="L82" s="212">
        <v>2</v>
      </c>
      <c r="M82" s="212">
        <v>1</v>
      </c>
      <c r="N82" s="212" t="s">
        <v>397</v>
      </c>
      <c r="O82" s="743" t="s">
        <v>804</v>
      </c>
    </row>
    <row r="83" spans="1:15">
      <c r="A83" s="211">
        <f>SUM(B83:M83)</f>
        <v>3518097000</v>
      </c>
      <c r="B83" s="211">
        <f>'گردش توليد و مواد C'!E43</f>
        <v>310777000</v>
      </c>
      <c r="C83" s="211">
        <f>'گردش توليد و مواد C'!F43</f>
        <v>310777000</v>
      </c>
      <c r="D83" s="211">
        <f>'گردش توليد و مواد C'!G43</f>
        <v>310777000</v>
      </c>
      <c r="E83" s="211">
        <f>'گردش توليد و مواد C'!H43</f>
        <v>310777000</v>
      </c>
      <c r="F83" s="211">
        <f>'گردش توليد و مواد C'!I43</f>
        <v>310777000</v>
      </c>
      <c r="G83" s="211">
        <f>'گردش توليد و مواد C'!J43</f>
        <v>310777000</v>
      </c>
      <c r="H83" s="211">
        <f>'گردش توليد و مواد C'!K43</f>
        <v>403087000</v>
      </c>
      <c r="I83" s="211">
        <f>'گردش توليد و مواد C'!L43</f>
        <v>248621599.99999997</v>
      </c>
      <c r="J83" s="211">
        <f>'گردش توليد و مواد C'!M43</f>
        <v>248621599.99999997</v>
      </c>
      <c r="K83" s="211">
        <f>'گردش توليد و مواد C'!N43</f>
        <v>248621599.99999997</v>
      </c>
      <c r="L83" s="211">
        <f>'گردش توليد و مواد C'!O43</f>
        <v>248621599.99999997</v>
      </c>
      <c r="M83" s="211">
        <f>'گردش توليد و مواد C'!P43</f>
        <v>255861599.99999997</v>
      </c>
      <c r="N83" s="211" t="s">
        <v>394</v>
      </c>
      <c r="O83" s="744"/>
    </row>
    <row r="84" spans="1:15">
      <c r="B84" s="214">
        <f t="shared" ref="B84" si="202">C84</f>
        <v>12</v>
      </c>
      <c r="C84" s="214">
        <f t="shared" ref="C84" si="203">D84</f>
        <v>12</v>
      </c>
      <c r="D84" s="214">
        <f t="shared" ref="D84" si="204">E84</f>
        <v>12</v>
      </c>
      <c r="E84" s="214">
        <f t="shared" ref="E84" si="205">F84</f>
        <v>12</v>
      </c>
      <c r="F84" s="214">
        <f t="shared" ref="F84" si="206">G84</f>
        <v>12</v>
      </c>
      <c r="G84" s="214">
        <f t="shared" ref="G84" si="207">H84</f>
        <v>12</v>
      </c>
      <c r="H84" s="214">
        <f t="shared" ref="H84" si="208">I84</f>
        <v>12</v>
      </c>
      <c r="I84" s="214">
        <f t="shared" ref="I84" si="209">J84</f>
        <v>12</v>
      </c>
      <c r="J84" s="214">
        <f t="shared" ref="J84" si="210">K84</f>
        <v>12</v>
      </c>
      <c r="K84" s="214">
        <f t="shared" ref="K84" si="211">L84</f>
        <v>12</v>
      </c>
      <c r="L84" s="214">
        <f>M84</f>
        <v>12</v>
      </c>
      <c r="M84" s="214">
        <f>bom!J14</f>
        <v>12</v>
      </c>
      <c r="N84" s="211" t="s">
        <v>400</v>
      </c>
      <c r="O84" s="744"/>
    </row>
    <row r="85" spans="1:15">
      <c r="A85" s="211">
        <f>SUM(B85:M85)</f>
        <v>42217164000</v>
      </c>
      <c r="B85" s="211">
        <f t="shared" ref="B85:L85" si="212">B83*B84</f>
        <v>3729324000</v>
      </c>
      <c r="C85" s="211">
        <f t="shared" si="212"/>
        <v>3729324000</v>
      </c>
      <c r="D85" s="211">
        <f t="shared" si="212"/>
        <v>3729324000</v>
      </c>
      <c r="E85" s="211">
        <f t="shared" si="212"/>
        <v>3729324000</v>
      </c>
      <c r="F85" s="211">
        <f t="shared" si="212"/>
        <v>3729324000</v>
      </c>
      <c r="G85" s="211">
        <f t="shared" si="212"/>
        <v>3729324000</v>
      </c>
      <c r="H85" s="211">
        <f t="shared" si="212"/>
        <v>4837044000</v>
      </c>
      <c r="I85" s="211">
        <f t="shared" si="212"/>
        <v>2983459199.9999995</v>
      </c>
      <c r="J85" s="211">
        <f t="shared" si="212"/>
        <v>2983459199.9999995</v>
      </c>
      <c r="K85" s="211">
        <f t="shared" si="212"/>
        <v>2983459199.9999995</v>
      </c>
      <c r="L85" s="211">
        <f t="shared" si="212"/>
        <v>2983459199.9999995</v>
      </c>
      <c r="M85" s="211">
        <f>M83*M84</f>
        <v>3070339199.9999995</v>
      </c>
      <c r="N85" s="211" t="s">
        <v>395</v>
      </c>
      <c r="O85" s="744"/>
    </row>
    <row r="86" spans="1:15">
      <c r="A86" s="211">
        <f>B86</f>
        <v>5593986000</v>
      </c>
      <c r="B86" s="211">
        <f>B85*'گردش توليد و مواد C'!$R46%</f>
        <v>5593986000</v>
      </c>
      <c r="C86" s="211">
        <f>C85*'گردش توليد و مواد C'!$R46%</f>
        <v>5593986000</v>
      </c>
      <c r="D86" s="211">
        <f>D85*'گردش توليد و مواد C'!$R46%</f>
        <v>5593986000</v>
      </c>
      <c r="E86" s="211">
        <f>E85*'گردش توليد و مواد C'!$R46%</f>
        <v>5593986000</v>
      </c>
      <c r="F86" s="211">
        <f>F85*'گردش توليد و مواد C'!$R46%</f>
        <v>5593986000</v>
      </c>
      <c r="G86" s="211">
        <f>G85*'گردش توليد و مواد C'!$R46%</f>
        <v>5593986000</v>
      </c>
      <c r="H86" s="211">
        <f>H85*'گردش توليد و مواد C'!$R46%</f>
        <v>7255566000</v>
      </c>
      <c r="I86" s="211">
        <f>I85*'گردش توليد و مواد C'!$R46%</f>
        <v>4475188799.999999</v>
      </c>
      <c r="J86" s="211">
        <f>J85*'گردش توليد و مواد C'!$R46%</f>
        <v>4475188799.999999</v>
      </c>
      <c r="K86" s="211">
        <f>K85*'گردش توليد و مواد C'!$R46%</f>
        <v>4475188799.999999</v>
      </c>
      <c r="L86" s="211">
        <f>L85*'گردش توليد و مواد C'!$R46%</f>
        <v>4475188799.999999</v>
      </c>
      <c r="M86" s="211">
        <f>M85*'گردش توليد و مواد C'!$R46%</f>
        <v>4605508799.999999</v>
      </c>
      <c r="N86" s="211" t="s">
        <v>29</v>
      </c>
      <c r="O86" s="744"/>
    </row>
    <row r="87" spans="1:15">
      <c r="A87" s="211">
        <f>M87</f>
        <v>0</v>
      </c>
      <c r="B87" s="211">
        <f t="shared" ref="B87" si="213">C86</f>
        <v>5593986000</v>
      </c>
      <c r="C87" s="211">
        <f t="shared" ref="C87" si="214">D86</f>
        <v>5593986000</v>
      </c>
      <c r="D87" s="211">
        <f t="shared" ref="D87" si="215">E86</f>
        <v>5593986000</v>
      </c>
      <c r="E87" s="211">
        <f t="shared" ref="E87" si="216">F86</f>
        <v>5593986000</v>
      </c>
      <c r="F87" s="211">
        <f t="shared" ref="F87" si="217">G86</f>
        <v>5593986000</v>
      </c>
      <c r="G87" s="211">
        <f t="shared" ref="G87" si="218">H86</f>
        <v>7255566000</v>
      </c>
      <c r="H87" s="211">
        <f t="shared" ref="H87" si="219">I86</f>
        <v>4475188799.999999</v>
      </c>
      <c r="I87" s="211">
        <f t="shared" ref="I87" si="220">J86</f>
        <v>4475188799.999999</v>
      </c>
      <c r="J87" s="211">
        <f t="shared" ref="J87" si="221">K86</f>
        <v>4475188799.999999</v>
      </c>
      <c r="K87" s="211">
        <f t="shared" ref="K87" si="222">L86</f>
        <v>4475188799.999999</v>
      </c>
      <c r="L87" s="211">
        <f>M86</f>
        <v>4605508799.999999</v>
      </c>
      <c r="M87" s="211">
        <v>0</v>
      </c>
      <c r="N87" s="211" t="s">
        <v>396</v>
      </c>
      <c r="O87" s="744"/>
    </row>
    <row r="88" spans="1:15">
      <c r="A88" s="220">
        <f t="shared" ref="A88:L88" si="223">A85+A86-A87</f>
        <v>47811150000</v>
      </c>
      <c r="B88" s="220">
        <f t="shared" si="223"/>
        <v>3729324000</v>
      </c>
      <c r="C88" s="220">
        <f t="shared" si="223"/>
        <v>3729324000</v>
      </c>
      <c r="D88" s="220">
        <f t="shared" si="223"/>
        <v>3729324000</v>
      </c>
      <c r="E88" s="220">
        <f t="shared" si="223"/>
        <v>3729324000</v>
      </c>
      <c r="F88" s="220">
        <f t="shared" si="223"/>
        <v>3729324000</v>
      </c>
      <c r="G88" s="220">
        <f t="shared" si="223"/>
        <v>2067744000</v>
      </c>
      <c r="H88" s="220">
        <f t="shared" si="223"/>
        <v>7617421200.000001</v>
      </c>
      <c r="I88" s="220">
        <f t="shared" si="223"/>
        <v>2983459199.999999</v>
      </c>
      <c r="J88" s="220">
        <f t="shared" si="223"/>
        <v>2983459199.999999</v>
      </c>
      <c r="K88" s="220">
        <f t="shared" si="223"/>
        <v>2983459199.999999</v>
      </c>
      <c r="L88" s="220">
        <f t="shared" si="223"/>
        <v>2853139199.999999</v>
      </c>
      <c r="M88" s="220">
        <f>M85+M86-M87</f>
        <v>7675847999.9999981</v>
      </c>
      <c r="N88" s="220" t="s">
        <v>399</v>
      </c>
      <c r="O88" s="744"/>
    </row>
    <row r="89" spans="1:15">
      <c r="A89" s="220"/>
      <c r="B89" s="220">
        <f t="shared" ref="B89" si="224">C89</f>
        <v>0</v>
      </c>
      <c r="C89" s="220">
        <f t="shared" ref="C89" si="225">D89</f>
        <v>0</v>
      </c>
      <c r="D89" s="220">
        <f t="shared" ref="D89" si="226">E89</f>
        <v>0</v>
      </c>
      <c r="E89" s="220">
        <f t="shared" ref="E89" si="227">F89</f>
        <v>0</v>
      </c>
      <c r="F89" s="220">
        <f t="shared" ref="F89" si="228">G89</f>
        <v>0</v>
      </c>
      <c r="G89" s="220">
        <f t="shared" ref="G89" si="229">H89</f>
        <v>0</v>
      </c>
      <c r="H89" s="220">
        <f t="shared" ref="H89" si="230">I89</f>
        <v>0</v>
      </c>
      <c r="I89" s="220">
        <f t="shared" ref="I89" si="231">J89</f>
        <v>0</v>
      </c>
      <c r="J89" s="220">
        <f t="shared" ref="J89" si="232">K89</f>
        <v>0</v>
      </c>
      <c r="K89" s="220">
        <f t="shared" ref="K89" si="233">L89</f>
        <v>0</v>
      </c>
      <c r="L89" s="220">
        <f>M89</f>
        <v>0</v>
      </c>
      <c r="M89" s="220">
        <f>bom!K40</f>
        <v>0</v>
      </c>
      <c r="N89" s="220" t="s">
        <v>30</v>
      </c>
      <c r="O89" s="744"/>
    </row>
    <row r="90" spans="1:15">
      <c r="A90" s="215">
        <f>SUM(B90:M90)</f>
        <v>0</v>
      </c>
      <c r="B90" s="213">
        <f t="shared" ref="B90:L90" si="234">B88*B89</f>
        <v>0</v>
      </c>
      <c r="C90" s="213">
        <f t="shared" si="234"/>
        <v>0</v>
      </c>
      <c r="D90" s="213">
        <f t="shared" si="234"/>
        <v>0</v>
      </c>
      <c r="E90" s="213">
        <f t="shared" si="234"/>
        <v>0</v>
      </c>
      <c r="F90" s="213">
        <f t="shared" si="234"/>
        <v>0</v>
      </c>
      <c r="G90" s="213">
        <f t="shared" si="234"/>
        <v>0</v>
      </c>
      <c r="H90" s="213">
        <f t="shared" si="234"/>
        <v>0</v>
      </c>
      <c r="I90" s="213">
        <f t="shared" si="234"/>
        <v>0</v>
      </c>
      <c r="J90" s="213">
        <f t="shared" si="234"/>
        <v>0</v>
      </c>
      <c r="K90" s="213">
        <f t="shared" si="234"/>
        <v>0</v>
      </c>
      <c r="L90" s="213">
        <f t="shared" si="234"/>
        <v>0</v>
      </c>
      <c r="M90" s="213">
        <f>M88*M89</f>
        <v>0</v>
      </c>
      <c r="N90" s="213" t="s">
        <v>398</v>
      </c>
      <c r="O90" s="745"/>
    </row>
    <row r="92" spans="1:15">
      <c r="A92" s="211">
        <f>SUM(B92:M92)</f>
        <v>37129932500</v>
      </c>
      <c r="B92" s="211">
        <f t="shared" ref="B92:L92" si="235">B90+B79+B68+B55+B44+B33+B22+B11</f>
        <v>3706373000</v>
      </c>
      <c r="C92" s="211">
        <f t="shared" si="235"/>
        <v>4156228999.9999995</v>
      </c>
      <c r="D92" s="211">
        <f t="shared" si="235"/>
        <v>3996509000.0000005</v>
      </c>
      <c r="E92" s="211">
        <f t="shared" si="235"/>
        <v>3281333000</v>
      </c>
      <c r="F92" s="211">
        <f t="shared" si="235"/>
        <v>2964533000</v>
      </c>
      <c r="G92" s="211">
        <f t="shared" si="235"/>
        <v>4424216000</v>
      </c>
      <c r="H92" s="211">
        <f t="shared" si="235"/>
        <v>3106959900</v>
      </c>
      <c r="I92" s="211">
        <f t="shared" si="235"/>
        <v>2253618400</v>
      </c>
      <c r="J92" s="211">
        <f t="shared" si="235"/>
        <v>2253618400</v>
      </c>
      <c r="K92" s="211">
        <f t="shared" si="235"/>
        <v>2253618400</v>
      </c>
      <c r="L92" s="211">
        <f t="shared" si="235"/>
        <v>2367878400</v>
      </c>
      <c r="M92" s="211">
        <f>M90+M79+M68+M55+M44+M33+M22+M11</f>
        <v>2365045999.9999995</v>
      </c>
      <c r="O92" s="211" t="s">
        <v>805</v>
      </c>
    </row>
  </sheetData>
  <mergeCells count="9">
    <mergeCell ref="A1:O2"/>
    <mergeCell ref="O71:O79"/>
    <mergeCell ref="O82:O90"/>
    <mergeCell ref="O25:O33"/>
    <mergeCell ref="O14:O22"/>
    <mergeCell ref="O3:O11"/>
    <mergeCell ref="O36:O44"/>
    <mergeCell ref="O47:O55"/>
    <mergeCell ref="O60:O68"/>
  </mergeCells>
  <hyperlinks>
    <hyperlink ref="A1:O2" r:id="rId1" location="'فهرست مطالب'!A1" display="جدول برنامه ریزی خرید مواد اولیه طی سال بودجه - شرکت ............  برای سال ..................................."/>
  </hyperlinks>
  <pageMargins left="0.7" right="0.7" top="0.75" bottom="0.75" header="0.3" footer="0.3"/>
  <pageSetup paperSize="9" orientation="portrait" verticalDpi="0" r:id="rId2"/>
</worksheet>
</file>

<file path=xl/worksheets/sheet24.xml><?xml version="1.0" encoding="utf-8"?>
<worksheet xmlns="http://schemas.openxmlformats.org/spreadsheetml/2006/main" xmlns:r="http://schemas.openxmlformats.org/officeDocument/2006/relationships">
  <dimension ref="L1:O55"/>
  <sheetViews>
    <sheetView tabSelected="1" workbookViewId="0">
      <selection activeCell="D3" sqref="D3"/>
    </sheetView>
  </sheetViews>
  <sheetFormatPr defaultColWidth="9" defaultRowHeight="18.75"/>
  <cols>
    <col min="1" max="11" width="9" style="223"/>
    <col min="12" max="12" width="13.42578125" style="233" bestFit="1" customWidth="1"/>
    <col min="13" max="13" width="9.85546875" style="223" customWidth="1"/>
    <col min="14" max="14" width="32.7109375" style="545" bestFit="1" customWidth="1"/>
    <col min="15" max="15" width="21.5703125" style="545" customWidth="1"/>
    <col min="16" max="16384" width="9" style="223"/>
  </cols>
  <sheetData>
    <row r="1" spans="12:15" ht="28.5">
      <c r="L1" s="826" t="s">
        <v>439</v>
      </c>
      <c r="M1" s="826"/>
      <c r="N1" s="826"/>
      <c r="O1" s="826"/>
    </row>
    <row r="2" spans="12:15" ht="19.5" thickBot="1">
      <c r="L2" s="229" t="s">
        <v>735</v>
      </c>
    </row>
    <row r="3" spans="12:15">
      <c r="L3" s="230"/>
      <c r="M3" s="224"/>
      <c r="N3" s="546"/>
      <c r="O3" s="549"/>
    </row>
    <row r="4" spans="12:15">
      <c r="L4" s="231">
        <f>ترازنامه!Q18/ترازنامه!K18</f>
        <v>0.96283051742312409</v>
      </c>
      <c r="M4" s="225"/>
      <c r="N4" s="547" t="s">
        <v>419</v>
      </c>
      <c r="O4" s="550"/>
    </row>
    <row r="5" spans="12:15">
      <c r="L5" s="231"/>
      <c r="M5" s="225"/>
      <c r="N5" s="547"/>
      <c r="O5" s="550" t="s">
        <v>418</v>
      </c>
    </row>
    <row r="6" spans="12:15">
      <c r="L6" s="231">
        <f>(ترازنامه!Q18-ترازنامه!Q14-ترازنامه!Q13)/ترازنامه!K18</f>
        <v>0.48542167925251634</v>
      </c>
      <c r="M6" s="225"/>
      <c r="N6" s="547" t="s">
        <v>420</v>
      </c>
      <c r="O6" s="550"/>
    </row>
    <row r="7" spans="12:15" ht="19.5" thickBot="1">
      <c r="L7" s="232"/>
      <c r="M7" s="226"/>
      <c r="N7" s="548"/>
      <c r="O7" s="551"/>
    </row>
    <row r="8" spans="12:15" ht="19.5" thickBot="1"/>
    <row r="9" spans="12:15">
      <c r="L9" s="230">
        <f>('سود و زیان '!J12)/((ترازنامه!R14+ترازنامه!Q14)/2)</f>
        <v>10.383367412291795</v>
      </c>
      <c r="M9" s="224"/>
      <c r="N9" s="546" t="s">
        <v>422</v>
      </c>
      <c r="O9" s="549"/>
    </row>
    <row r="10" spans="12:15">
      <c r="L10" s="231"/>
      <c r="M10" s="225"/>
      <c r="N10" s="547"/>
      <c r="O10" s="550"/>
    </row>
    <row r="11" spans="12:15">
      <c r="L11" s="234">
        <f>365/L9</f>
        <v>35.152372588483601</v>
      </c>
      <c r="M11" s="227"/>
      <c r="N11" s="547" t="s">
        <v>423</v>
      </c>
      <c r="O11" s="550"/>
    </row>
    <row r="12" spans="12:15">
      <c r="L12" s="231"/>
      <c r="M12" s="225"/>
      <c r="N12" s="547"/>
      <c r="O12" s="550"/>
    </row>
    <row r="13" spans="12:15">
      <c r="L13" s="231">
        <f>(ترازنامه!Q11)/('سود و زیان '!J10/365)</f>
        <v>6.9199948172782069</v>
      </c>
      <c r="M13" s="225"/>
      <c r="N13" s="547" t="s">
        <v>424</v>
      </c>
      <c r="O13" s="550" t="s">
        <v>421</v>
      </c>
    </row>
    <row r="14" spans="12:15">
      <c r="L14" s="231"/>
      <c r="M14" s="225"/>
      <c r="N14" s="547"/>
      <c r="O14" s="550"/>
    </row>
    <row r="15" spans="12:15">
      <c r="L15" s="825">
        <f>L11+L13</f>
        <v>42.07236740576181</v>
      </c>
      <c r="M15" s="228"/>
      <c r="N15" s="547" t="s">
        <v>425</v>
      </c>
      <c r="O15" s="550"/>
    </row>
    <row r="16" spans="12:15">
      <c r="L16" s="231"/>
      <c r="M16" s="225"/>
      <c r="N16" s="547"/>
      <c r="O16" s="550"/>
    </row>
    <row r="17" spans="12:15" ht="19.5" thickBot="1">
      <c r="L17" s="232">
        <f>'سود و زیان '!J10/((ترازنامه!Q37+ترازنامه!R37)/2)</f>
        <v>2.1078490783637394</v>
      </c>
      <c r="M17" s="226"/>
      <c r="N17" s="548" t="s">
        <v>426</v>
      </c>
      <c r="O17" s="551"/>
    </row>
    <row r="19" spans="12:15" ht="19.5" thickBot="1"/>
    <row r="20" spans="12:15">
      <c r="L20" s="230">
        <f>(ترازنامه!K28+ترازنامه!K18)/ترازنامه!Q37</f>
        <v>0.36984198584771599</v>
      </c>
      <c r="M20" s="224"/>
      <c r="N20" s="546" t="s">
        <v>428</v>
      </c>
      <c r="O20" s="549"/>
    </row>
    <row r="21" spans="12:15">
      <c r="L21" s="231"/>
      <c r="M21" s="225"/>
      <c r="N21" s="547"/>
      <c r="O21" s="550"/>
    </row>
    <row r="22" spans="12:15">
      <c r="L22" s="231"/>
      <c r="M22" s="225"/>
      <c r="N22" s="547"/>
      <c r="O22" s="550"/>
    </row>
    <row r="23" spans="12:15">
      <c r="L23" s="231">
        <f>1-L20</f>
        <v>0.63015801415228401</v>
      </c>
      <c r="M23" s="225"/>
      <c r="N23" s="547" t="s">
        <v>429</v>
      </c>
      <c r="O23" s="550" t="s">
        <v>427</v>
      </c>
    </row>
    <row r="24" spans="12:15">
      <c r="L24" s="231"/>
      <c r="M24" s="225"/>
      <c r="N24" s="547"/>
      <c r="O24" s="550"/>
    </row>
    <row r="25" spans="12:15">
      <c r="L25" s="231"/>
      <c r="M25" s="225"/>
      <c r="N25" s="547"/>
      <c r="O25" s="550"/>
    </row>
    <row r="26" spans="12:15" ht="19.5" thickBot="1">
      <c r="L26" s="232">
        <f>'سود و زیان '!J18/'سود و زیان '!J20</f>
        <v>13.168794813619485</v>
      </c>
      <c r="M26" s="226"/>
      <c r="N26" s="548" t="s">
        <v>430</v>
      </c>
      <c r="O26" s="551"/>
    </row>
    <row r="29" spans="12:15" ht="19.5" thickBot="1"/>
    <row r="30" spans="12:15">
      <c r="L30" s="230">
        <f>'سود و زیان '!N13</f>
        <v>56.28395244951453</v>
      </c>
      <c r="M30" s="224"/>
      <c r="N30" s="546" t="s">
        <v>432</v>
      </c>
      <c r="O30" s="549"/>
    </row>
    <row r="31" spans="12:15">
      <c r="L31" s="231"/>
      <c r="M31" s="225"/>
      <c r="N31" s="547"/>
      <c r="O31" s="550"/>
    </row>
    <row r="32" spans="12:15">
      <c r="L32" s="231">
        <f>'سود و زیان '!N12</f>
        <v>43.716047550485463</v>
      </c>
      <c r="M32" s="225"/>
      <c r="N32" s="547" t="s">
        <v>363</v>
      </c>
      <c r="O32" s="550"/>
    </row>
    <row r="33" spans="12:15">
      <c r="L33" s="231"/>
      <c r="M33" s="225"/>
      <c r="N33" s="547"/>
      <c r="O33" s="550"/>
    </row>
    <row r="34" spans="12:15">
      <c r="L34" s="231">
        <f>'سود و زیان '!N18</f>
        <v>25.550227302351036</v>
      </c>
      <c r="M34" s="225"/>
      <c r="N34" s="547" t="s">
        <v>359</v>
      </c>
      <c r="O34" s="550"/>
    </row>
    <row r="35" spans="12:15">
      <c r="L35" s="231"/>
      <c r="M35" s="225"/>
      <c r="N35" s="547"/>
      <c r="O35" s="550"/>
    </row>
    <row r="36" spans="12:15">
      <c r="L36" s="231">
        <f>'سود و زیان '!N23</f>
        <v>24.098468271260725</v>
      </c>
      <c r="M36" s="225"/>
      <c r="N36" s="547" t="s">
        <v>360</v>
      </c>
      <c r="O36" s="550" t="s">
        <v>431</v>
      </c>
    </row>
    <row r="37" spans="12:15">
      <c r="L37" s="231"/>
      <c r="M37" s="225"/>
      <c r="N37" s="547"/>
      <c r="O37" s="550"/>
    </row>
    <row r="38" spans="12:15">
      <c r="L38" s="231">
        <f>'سود و زیان '!N26</f>
        <v>18.19596394409762</v>
      </c>
      <c r="M38" s="225"/>
      <c r="N38" s="547" t="s">
        <v>361</v>
      </c>
      <c r="O38" s="550"/>
    </row>
    <row r="39" spans="12:15">
      <c r="L39" s="231"/>
      <c r="M39" s="225"/>
      <c r="N39" s="547"/>
      <c r="O39" s="550"/>
    </row>
    <row r="40" spans="12:15">
      <c r="L40" s="231">
        <f>'سود و زیان '!N27</f>
        <v>38.354345829506002</v>
      </c>
      <c r="M40" s="225"/>
      <c r="N40" s="547" t="s">
        <v>433</v>
      </c>
      <c r="O40" s="550"/>
    </row>
    <row r="41" spans="12:15">
      <c r="L41" s="231"/>
      <c r="M41" s="225"/>
      <c r="N41" s="547"/>
      <c r="O41" s="550"/>
    </row>
    <row r="42" spans="12:15" ht="19.5" thickBot="1">
      <c r="L42" s="232">
        <f>'سود و زیان '!N28</f>
        <v>62.05851844887632</v>
      </c>
      <c r="M42" s="226"/>
      <c r="N42" s="552" t="s">
        <v>434</v>
      </c>
      <c r="O42" s="551"/>
    </row>
    <row r="44" spans="12:15" ht="19.5" thickBot="1"/>
    <row r="45" spans="12:15">
      <c r="L45" s="230">
        <f>'سود و زیان '!J26/'یاداشت های سال قبل'!J115</f>
        <v>933.89507209459146</v>
      </c>
      <c r="M45" s="224"/>
      <c r="N45" s="546" t="s">
        <v>436</v>
      </c>
      <c r="O45" s="549" t="s">
        <v>435</v>
      </c>
    </row>
    <row r="46" spans="12:15">
      <c r="L46" s="231">
        <f>('گردش جریان وجه نقد'!D21+'گردش جریان وجه نقد'!D22)/'یاداشت های سال قبل'!J115</f>
        <v>169.21846796922006</v>
      </c>
      <c r="M46" s="225"/>
      <c r="N46" s="547" t="s">
        <v>806</v>
      </c>
      <c r="O46" s="550"/>
    </row>
    <row r="47" spans="12:15" ht="19.5" thickBot="1">
      <c r="L47" s="232"/>
      <c r="M47" s="226"/>
      <c r="N47" s="548"/>
      <c r="O47" s="551"/>
    </row>
    <row r="48" spans="12:15" ht="19.5" thickBot="1"/>
    <row r="49" spans="12:15">
      <c r="L49" s="230">
        <f>'سود و زیان '!J16/'سود و زیان '!J10</f>
        <v>0.21200426368603709</v>
      </c>
      <c r="M49" s="224"/>
      <c r="N49" s="546" t="s">
        <v>438</v>
      </c>
      <c r="O49" s="549" t="s">
        <v>437</v>
      </c>
    </row>
    <row r="50" spans="12:15">
      <c r="L50" s="231">
        <f>('گردش توليد و مواد ( A)'!D9+'گردش توليد و مواد B'!D9+'گردش توليد و مواد C'!D9)/'مراکز هزینه پرسنل'!B36</f>
        <v>280.43221476510064</v>
      </c>
      <c r="M50" s="225"/>
      <c r="N50" s="547" t="s">
        <v>807</v>
      </c>
      <c r="O50" s="550"/>
    </row>
    <row r="51" spans="12:15">
      <c r="L51" s="231"/>
      <c r="M51" s="225"/>
      <c r="N51" s="547"/>
      <c r="O51" s="550"/>
    </row>
    <row r="52" spans="12:15">
      <c r="L52" s="231"/>
      <c r="M52" s="225"/>
      <c r="N52" s="547"/>
      <c r="O52" s="550"/>
    </row>
    <row r="53" spans="12:15">
      <c r="L53" s="231"/>
      <c r="M53" s="225"/>
      <c r="N53" s="547"/>
      <c r="O53" s="550"/>
    </row>
    <row r="54" spans="12:15">
      <c r="L54" s="231"/>
      <c r="M54" s="225"/>
      <c r="N54" s="547"/>
      <c r="O54" s="550"/>
    </row>
    <row r="55" spans="12:15" ht="19.5" thickBot="1">
      <c r="L55" s="232"/>
      <c r="M55" s="226"/>
      <c r="N55" s="548"/>
      <c r="O55" s="551"/>
    </row>
  </sheetData>
  <mergeCells count="1">
    <mergeCell ref="L1:O1"/>
  </mergeCells>
  <hyperlinks>
    <hyperlink ref="L1:O1" r:id="rId1" location="'فهرست مطالب'!A1" display="نسبت های مالی "/>
  </hyperlinks>
  <pageMargins left="0.7" right="0.7" top="0.75" bottom="0.75" header="0.3" footer="0.3"/>
  <pageSetup paperSize="0" orientation="portrait" horizontalDpi="0" verticalDpi="0" copies="0"/>
</worksheet>
</file>

<file path=xl/worksheets/sheet25.xml><?xml version="1.0" encoding="utf-8"?>
<worksheet xmlns="http://schemas.openxmlformats.org/spreadsheetml/2006/main" xmlns:r="http://schemas.openxmlformats.org/officeDocument/2006/relationships">
  <sheetPr>
    <tabColor rgb="FF92D050"/>
  </sheetPr>
  <dimension ref="A2:R80"/>
  <sheetViews>
    <sheetView topLeftCell="F1" zoomScale="150" zoomScaleNormal="150" workbookViewId="0">
      <selection activeCell="P14" sqref="P14"/>
    </sheetView>
  </sheetViews>
  <sheetFormatPr defaultColWidth="9" defaultRowHeight="15"/>
  <cols>
    <col min="1" max="1" width="9" style="256"/>
    <col min="2" max="12" width="9.140625" style="256" bestFit="1" customWidth="1"/>
    <col min="13" max="13" width="10.140625" style="256" bestFit="1" customWidth="1"/>
    <col min="14" max="15" width="9" style="256"/>
    <col min="16" max="16" width="14" style="256" bestFit="1" customWidth="1"/>
    <col min="17" max="17" width="9.140625" style="256" bestFit="1" customWidth="1"/>
    <col min="18" max="18" width="13.5703125" style="257" bestFit="1" customWidth="1"/>
    <col min="19" max="16384" width="9" style="256"/>
  </cols>
  <sheetData>
    <row r="2" spans="1:18">
      <c r="P2" s="749" t="s">
        <v>575</v>
      </c>
      <c r="Q2" s="749"/>
      <c r="R2" s="749"/>
    </row>
    <row r="3" spans="1:18" ht="15.75" thickBot="1"/>
    <row r="4" spans="1:18" ht="15.75" thickBot="1">
      <c r="A4" s="261" t="s">
        <v>12</v>
      </c>
      <c r="B4" s="261">
        <v>12</v>
      </c>
      <c r="C4" s="261">
        <v>11</v>
      </c>
      <c r="D4" s="261">
        <v>10</v>
      </c>
      <c r="E4" s="261">
        <v>9</v>
      </c>
      <c r="F4" s="261">
        <v>8</v>
      </c>
      <c r="G4" s="261">
        <v>7</v>
      </c>
      <c r="H4" s="261">
        <v>6</v>
      </c>
      <c r="I4" s="261">
        <v>5</v>
      </c>
      <c r="J4" s="261">
        <v>4</v>
      </c>
      <c r="K4" s="261">
        <v>3</v>
      </c>
      <c r="L4" s="261">
        <v>2</v>
      </c>
      <c r="M4" s="261">
        <v>1</v>
      </c>
      <c r="N4" s="261" t="s">
        <v>256</v>
      </c>
      <c r="P4" s="263">
        <v>10000000000</v>
      </c>
      <c r="Q4" s="750" t="s">
        <v>473</v>
      </c>
      <c r="R4" s="751"/>
    </row>
    <row r="5" spans="1:18" ht="15.75" thickBot="1">
      <c r="A5" s="260">
        <f>SUM(B5:M5)</f>
        <v>0</v>
      </c>
      <c r="B5" s="260">
        <f t="shared" ref="B5:J5" si="0">IF(C5&gt;0,C5,0)</f>
        <v>0</v>
      </c>
      <c r="C5" s="260">
        <f t="shared" si="0"/>
        <v>0</v>
      </c>
      <c r="D5" s="260">
        <f t="shared" si="0"/>
        <v>0</v>
      </c>
      <c r="E5" s="260">
        <f t="shared" si="0"/>
        <v>0</v>
      </c>
      <c r="F5" s="260">
        <f t="shared" si="0"/>
        <v>0</v>
      </c>
      <c r="G5" s="260">
        <f t="shared" si="0"/>
        <v>0</v>
      </c>
      <c r="H5" s="260">
        <f t="shared" si="0"/>
        <v>0</v>
      </c>
      <c r="I5" s="260">
        <f t="shared" si="0"/>
        <v>0</v>
      </c>
      <c r="J5" s="260">
        <f t="shared" si="0"/>
        <v>0</v>
      </c>
      <c r="K5" s="260">
        <f>IF(L5&gt;0,L5,0)</f>
        <v>0</v>
      </c>
      <c r="L5" s="260">
        <f>IF(M5&gt;0,M5,0)</f>
        <v>0</v>
      </c>
      <c r="M5" s="260">
        <f>IF(Q6=1,P4/P7,0)</f>
        <v>0</v>
      </c>
      <c r="N5" s="260" t="s">
        <v>476</v>
      </c>
      <c r="P5" s="259" t="s">
        <v>468</v>
      </c>
      <c r="Q5" s="259" t="s">
        <v>397</v>
      </c>
      <c r="R5" s="753" t="s">
        <v>465</v>
      </c>
    </row>
    <row r="6" spans="1:18" ht="15.75" thickBot="1">
      <c r="A6" s="260">
        <f>SUM(B6:M6)</f>
        <v>0</v>
      </c>
      <c r="B6" s="260">
        <f t="shared" ref="B6:J6" si="1">IF(C6&gt;0,C8*$P9/$P7,0)</f>
        <v>0</v>
      </c>
      <c r="C6" s="260">
        <f t="shared" si="1"/>
        <v>0</v>
      </c>
      <c r="D6" s="260">
        <f t="shared" si="1"/>
        <v>0</v>
      </c>
      <c r="E6" s="260">
        <f t="shared" si="1"/>
        <v>0</v>
      </c>
      <c r="F6" s="260">
        <f t="shared" si="1"/>
        <v>0</v>
      </c>
      <c r="G6" s="260">
        <f t="shared" si="1"/>
        <v>0</v>
      </c>
      <c r="H6" s="260">
        <f t="shared" si="1"/>
        <v>0</v>
      </c>
      <c r="I6" s="260">
        <f t="shared" si="1"/>
        <v>0</v>
      </c>
      <c r="J6" s="260">
        <f t="shared" si="1"/>
        <v>0</v>
      </c>
      <c r="K6" s="260">
        <f>IF(L6&gt;0,L8*$P9/$P7,0)</f>
        <v>0</v>
      </c>
      <c r="L6" s="260">
        <f>IF(M6&gt;0,M8*$P9/$P7,0)</f>
        <v>0</v>
      </c>
      <c r="M6" s="260">
        <f>IF(Q6=1,P4*P9/P7,0)</f>
        <v>0</v>
      </c>
      <c r="N6" s="260" t="s">
        <v>477</v>
      </c>
      <c r="P6" s="259">
        <v>1397</v>
      </c>
      <c r="Q6" s="259">
        <v>4</v>
      </c>
      <c r="R6" s="753"/>
    </row>
    <row r="7" spans="1:18" ht="15.75" thickBot="1">
      <c r="A7" s="260">
        <f t="shared" ref="A7:J7" si="2">SUM(A5:A6)</f>
        <v>0</v>
      </c>
      <c r="B7" s="260">
        <f t="shared" si="2"/>
        <v>0</v>
      </c>
      <c r="C7" s="260">
        <f t="shared" si="2"/>
        <v>0</v>
      </c>
      <c r="D7" s="260">
        <f t="shared" si="2"/>
        <v>0</v>
      </c>
      <c r="E7" s="260">
        <f t="shared" si="2"/>
        <v>0</v>
      </c>
      <c r="F7" s="260">
        <f t="shared" si="2"/>
        <v>0</v>
      </c>
      <c r="G7" s="260">
        <f t="shared" si="2"/>
        <v>0</v>
      </c>
      <c r="H7" s="260">
        <f t="shared" si="2"/>
        <v>0</v>
      </c>
      <c r="I7" s="260">
        <f t="shared" si="2"/>
        <v>0</v>
      </c>
      <c r="J7" s="260">
        <f t="shared" si="2"/>
        <v>0</v>
      </c>
      <c r="K7" s="260">
        <f>SUM(K5:K6)</f>
        <v>0</v>
      </c>
      <c r="L7" s="260">
        <f>SUM(L5:L6)</f>
        <v>0</v>
      </c>
      <c r="M7" s="260">
        <f>SUM(M5:M6)</f>
        <v>0</v>
      </c>
      <c r="N7" s="260" t="s">
        <v>12</v>
      </c>
      <c r="P7" s="752">
        <v>12</v>
      </c>
      <c r="Q7" s="752"/>
      <c r="R7" s="258" t="s">
        <v>466</v>
      </c>
    </row>
    <row r="8" spans="1:18" ht="15.75" thickBot="1">
      <c r="A8" s="260">
        <f>B8</f>
        <v>0</v>
      </c>
      <c r="B8" s="260">
        <f t="shared" ref="B8" si="3">IF(C8&gt;0,C8-B5,0)</f>
        <v>0</v>
      </c>
      <c r="C8" s="260">
        <f t="shared" ref="C8" si="4">IF(D8&gt;0,D8-C5,0)</f>
        <v>0</v>
      </c>
      <c r="D8" s="260">
        <f t="shared" ref="D8" si="5">IF(E8&gt;0,E8-D5,0)</f>
        <v>0</v>
      </c>
      <c r="E8" s="260">
        <f t="shared" ref="E8" si="6">IF(F8&gt;0,F8-E5,0)</f>
        <v>0</v>
      </c>
      <c r="F8" s="260">
        <f t="shared" ref="F8" si="7">IF(G8&gt;0,G8-F5,0)</f>
        <v>0</v>
      </c>
      <c r="G8" s="260">
        <f t="shared" ref="G8" si="8">IF(H8&gt;0,H8-G5,0)</f>
        <v>0</v>
      </c>
      <c r="H8" s="260">
        <f t="shared" ref="H8:J8" si="9">IF(I8&gt;0,I8-H5,0)</f>
        <v>0</v>
      </c>
      <c r="I8" s="260">
        <f t="shared" si="9"/>
        <v>0</v>
      </c>
      <c r="J8" s="260">
        <f t="shared" si="9"/>
        <v>0</v>
      </c>
      <c r="K8" s="260">
        <f>IF(L8&gt;0,L8-K5,0)</f>
        <v>0</v>
      </c>
      <c r="L8" s="260">
        <f>IF(M8&gt;0,M8-L5,0)</f>
        <v>0</v>
      </c>
      <c r="M8" s="260">
        <f>IF(Q6=1,P4-M5,0)</f>
        <v>0</v>
      </c>
      <c r="N8" s="260" t="s">
        <v>478</v>
      </c>
      <c r="P8" s="752">
        <v>12</v>
      </c>
      <c r="Q8" s="752"/>
      <c r="R8" s="258" t="s">
        <v>467</v>
      </c>
    </row>
    <row r="9" spans="1:18" ht="15.75" thickBot="1">
      <c r="P9" s="754">
        <v>0.2</v>
      </c>
      <c r="Q9" s="754"/>
      <c r="R9" s="258" t="s">
        <v>469</v>
      </c>
    </row>
    <row r="10" spans="1:18" ht="15.75" thickBot="1">
      <c r="A10" s="261" t="str">
        <f>A4</f>
        <v>جمع</v>
      </c>
      <c r="B10" s="261">
        <v>12</v>
      </c>
      <c r="C10" s="261">
        <v>11</v>
      </c>
      <c r="D10" s="261">
        <v>10</v>
      </c>
      <c r="E10" s="261">
        <v>9</v>
      </c>
      <c r="F10" s="261">
        <v>8</v>
      </c>
      <c r="G10" s="261">
        <v>7</v>
      </c>
      <c r="H10" s="261">
        <v>6</v>
      </c>
      <c r="I10" s="261">
        <v>5</v>
      </c>
      <c r="J10" s="261">
        <v>4</v>
      </c>
      <c r="K10" s="261">
        <v>2</v>
      </c>
      <c r="L10" s="261">
        <v>2</v>
      </c>
      <c r="M10" s="261">
        <v>1</v>
      </c>
      <c r="N10" s="261" t="str">
        <f>N4</f>
        <v>شرح</v>
      </c>
      <c r="P10" s="752" t="s">
        <v>474</v>
      </c>
      <c r="Q10" s="752"/>
      <c r="R10" s="258" t="s">
        <v>470</v>
      </c>
    </row>
    <row r="11" spans="1:18" ht="15.75" thickBot="1">
      <c r="A11" s="260">
        <f>SUM(B11:L11)</f>
        <v>0</v>
      </c>
      <c r="B11" s="260">
        <f t="shared" ref="B11:K11" si="10">IF($Q6=2,$P4/$P7,0)</f>
        <v>0</v>
      </c>
      <c r="C11" s="260">
        <f t="shared" si="10"/>
        <v>0</v>
      </c>
      <c r="D11" s="260">
        <f t="shared" si="10"/>
        <v>0</v>
      </c>
      <c r="E11" s="260">
        <f t="shared" si="10"/>
        <v>0</v>
      </c>
      <c r="F11" s="260">
        <f t="shared" si="10"/>
        <v>0</v>
      </c>
      <c r="G11" s="260">
        <f t="shared" si="10"/>
        <v>0</v>
      </c>
      <c r="H11" s="260">
        <f t="shared" si="10"/>
        <v>0</v>
      </c>
      <c r="I11" s="260">
        <f t="shared" si="10"/>
        <v>0</v>
      </c>
      <c r="J11" s="260">
        <f t="shared" si="10"/>
        <v>0</v>
      </c>
      <c r="K11" s="260">
        <f t="shared" si="10"/>
        <v>0</v>
      </c>
      <c r="L11" s="260">
        <f>IF($Q6=2,$P4/$P7,0)</f>
        <v>0</v>
      </c>
      <c r="M11" s="439"/>
      <c r="N11" s="260" t="str">
        <f>N5</f>
        <v>اصل قسط</v>
      </c>
      <c r="P11" s="752" t="s">
        <v>475</v>
      </c>
      <c r="Q11" s="752"/>
      <c r="R11" s="258" t="s">
        <v>471</v>
      </c>
    </row>
    <row r="12" spans="1:18" ht="15.75" thickBot="1">
      <c r="A12" s="260">
        <f>SUM(B12:L12)</f>
        <v>0</v>
      </c>
      <c r="B12" s="260">
        <f t="shared" ref="B12:J12" si="11">IF(C12&gt;0,C14*$P9/$P7,0)</f>
        <v>0</v>
      </c>
      <c r="C12" s="260">
        <f t="shared" si="11"/>
        <v>0</v>
      </c>
      <c r="D12" s="260">
        <f t="shared" si="11"/>
        <v>0</v>
      </c>
      <c r="E12" s="260">
        <f t="shared" si="11"/>
        <v>0</v>
      </c>
      <c r="F12" s="260">
        <f t="shared" si="11"/>
        <v>0</v>
      </c>
      <c r="G12" s="260">
        <f t="shared" si="11"/>
        <v>0</v>
      </c>
      <c r="H12" s="260">
        <f t="shared" si="11"/>
        <v>0</v>
      </c>
      <c r="I12" s="260">
        <f t="shared" si="11"/>
        <v>0</v>
      </c>
      <c r="J12" s="260">
        <f t="shared" si="11"/>
        <v>0</v>
      </c>
      <c r="K12" s="260">
        <f>IF(L12&gt;0,L14*$P9/$P7,0)</f>
        <v>0</v>
      </c>
      <c r="L12" s="260">
        <f>IF(Q6=2,P4*P9/P7,0)</f>
        <v>0</v>
      </c>
      <c r="M12" s="439"/>
      <c r="N12" s="260" t="str">
        <f t="shared" ref="N12:N14" si="12">N6</f>
        <v xml:space="preserve">سود </v>
      </c>
      <c r="P12" s="752">
        <v>0</v>
      </c>
      <c r="Q12" s="752"/>
      <c r="R12" s="258" t="s">
        <v>472</v>
      </c>
    </row>
    <row r="13" spans="1:18" ht="15.75" thickBot="1">
      <c r="A13" s="260">
        <f t="shared" ref="A13:K13" si="13">SUM(A11:A12)</f>
        <v>0</v>
      </c>
      <c r="B13" s="260">
        <f t="shared" si="13"/>
        <v>0</v>
      </c>
      <c r="C13" s="260">
        <f t="shared" si="13"/>
        <v>0</v>
      </c>
      <c r="D13" s="260">
        <f t="shared" si="13"/>
        <v>0</v>
      </c>
      <c r="E13" s="260">
        <f t="shared" si="13"/>
        <v>0</v>
      </c>
      <c r="F13" s="260">
        <f t="shared" si="13"/>
        <v>0</v>
      </c>
      <c r="G13" s="260">
        <f t="shared" si="13"/>
        <v>0</v>
      </c>
      <c r="H13" s="260">
        <f t="shared" si="13"/>
        <v>0</v>
      </c>
      <c r="I13" s="260">
        <f t="shared" si="13"/>
        <v>0</v>
      </c>
      <c r="J13" s="260">
        <f t="shared" si="13"/>
        <v>0</v>
      </c>
      <c r="K13" s="260">
        <f t="shared" si="13"/>
        <v>0</v>
      </c>
      <c r="L13" s="260">
        <f>SUM(L11:L12)</f>
        <v>0</v>
      </c>
      <c r="M13" s="439"/>
      <c r="N13" s="260" t="str">
        <f t="shared" si="12"/>
        <v>جمع</v>
      </c>
    </row>
    <row r="14" spans="1:18" ht="15.75" thickBot="1">
      <c r="A14" s="260">
        <f>B14</f>
        <v>0</v>
      </c>
      <c r="B14" s="260">
        <f t="shared" ref="B14:J14" si="14">IF(C14&gt;0,C14-B11,0)</f>
        <v>0</v>
      </c>
      <c r="C14" s="260">
        <f t="shared" si="14"/>
        <v>0</v>
      </c>
      <c r="D14" s="260">
        <f t="shared" si="14"/>
        <v>0</v>
      </c>
      <c r="E14" s="260">
        <f t="shared" si="14"/>
        <v>0</v>
      </c>
      <c r="F14" s="260">
        <f t="shared" si="14"/>
        <v>0</v>
      </c>
      <c r="G14" s="260">
        <f t="shared" si="14"/>
        <v>0</v>
      </c>
      <c r="H14" s="260">
        <f t="shared" si="14"/>
        <v>0</v>
      </c>
      <c r="I14" s="260">
        <f t="shared" si="14"/>
        <v>0</v>
      </c>
      <c r="J14" s="260">
        <f t="shared" si="14"/>
        <v>0</v>
      </c>
      <c r="K14" s="260">
        <f>IF(L14&gt;0,L14-K11,0)</f>
        <v>0</v>
      </c>
      <c r="L14" s="260">
        <f>IF(Q6=2,P4-L11,0)</f>
        <v>0</v>
      </c>
      <c r="M14" s="439"/>
      <c r="N14" s="260" t="str">
        <f t="shared" si="12"/>
        <v xml:space="preserve">مانده وام </v>
      </c>
    </row>
    <row r="15" spans="1:18" ht="15.75" thickBot="1"/>
    <row r="16" spans="1:18" ht="15.75" thickBot="1">
      <c r="A16" s="261" t="str">
        <f>A10</f>
        <v>جمع</v>
      </c>
      <c r="B16" s="261">
        <v>12</v>
      </c>
      <c r="C16" s="261">
        <v>11</v>
      </c>
      <c r="D16" s="261">
        <v>10</v>
      </c>
      <c r="E16" s="261">
        <v>9</v>
      </c>
      <c r="F16" s="261">
        <v>8</v>
      </c>
      <c r="G16" s="261">
        <v>7</v>
      </c>
      <c r="H16" s="261">
        <v>6</v>
      </c>
      <c r="I16" s="261">
        <v>5</v>
      </c>
      <c r="J16" s="261">
        <v>4</v>
      </c>
      <c r="K16" s="261">
        <v>3</v>
      </c>
      <c r="L16" s="261">
        <v>2</v>
      </c>
      <c r="M16" s="261">
        <v>1</v>
      </c>
      <c r="N16" s="261" t="str">
        <f>N10</f>
        <v>شرح</v>
      </c>
    </row>
    <row r="17" spans="1:17" ht="15.75" thickBot="1">
      <c r="A17" s="260">
        <f>SUM(B17:L17)</f>
        <v>0</v>
      </c>
      <c r="B17" s="260">
        <f t="shared" ref="B17:J17" si="15">IF($Q6=3,$P4/$P7,0)</f>
        <v>0</v>
      </c>
      <c r="C17" s="260">
        <f t="shared" si="15"/>
        <v>0</v>
      </c>
      <c r="D17" s="260">
        <f t="shared" si="15"/>
        <v>0</v>
      </c>
      <c r="E17" s="260">
        <f t="shared" si="15"/>
        <v>0</v>
      </c>
      <c r="F17" s="260">
        <f t="shared" si="15"/>
        <v>0</v>
      </c>
      <c r="G17" s="260">
        <f t="shared" si="15"/>
        <v>0</v>
      </c>
      <c r="H17" s="260">
        <f t="shared" si="15"/>
        <v>0</v>
      </c>
      <c r="I17" s="260">
        <f t="shared" si="15"/>
        <v>0</v>
      </c>
      <c r="J17" s="260">
        <f t="shared" si="15"/>
        <v>0</v>
      </c>
      <c r="K17" s="260">
        <f>IF($Q6=3,$P4/$P7,0)</f>
        <v>0</v>
      </c>
      <c r="L17" s="439"/>
      <c r="M17" s="439"/>
      <c r="N17" s="260" t="str">
        <f>N11</f>
        <v>اصل قسط</v>
      </c>
    </row>
    <row r="18" spans="1:17" ht="15.75" thickBot="1">
      <c r="A18" s="260">
        <f>SUM(B18:L18)</f>
        <v>0</v>
      </c>
      <c r="B18" s="260">
        <f t="shared" ref="B18:I18" si="16">IF(C18&gt;0,C20*$P9/$P7,0)</f>
        <v>0</v>
      </c>
      <c r="C18" s="260">
        <f t="shared" si="16"/>
        <v>0</v>
      </c>
      <c r="D18" s="260">
        <f t="shared" si="16"/>
        <v>0</v>
      </c>
      <c r="E18" s="260">
        <f t="shared" si="16"/>
        <v>0</v>
      </c>
      <c r="F18" s="260">
        <f t="shared" si="16"/>
        <v>0</v>
      </c>
      <c r="G18" s="260">
        <f t="shared" si="16"/>
        <v>0</v>
      </c>
      <c r="H18" s="260">
        <f t="shared" si="16"/>
        <v>0</v>
      </c>
      <c r="I18" s="260">
        <f t="shared" si="16"/>
        <v>0</v>
      </c>
      <c r="J18" s="260">
        <f>IF(K18&gt;0,K20*$P9/$P7,0)</f>
        <v>0</v>
      </c>
      <c r="K18" s="260">
        <f>IF(Q6=3,P4*P9/P7,0)</f>
        <v>0</v>
      </c>
      <c r="L18" s="439"/>
      <c r="M18" s="439"/>
      <c r="N18" s="260" t="str">
        <f t="shared" ref="N18:N20" si="17">N12</f>
        <v xml:space="preserve">سود </v>
      </c>
    </row>
    <row r="19" spans="1:17" ht="15.75" thickBot="1">
      <c r="A19" s="260">
        <f t="shared" ref="A19" si="18">SUM(A17:A18)</f>
        <v>0</v>
      </c>
      <c r="B19" s="260">
        <f t="shared" ref="B19" si="19">SUM(B17:B18)</f>
        <v>0</v>
      </c>
      <c r="C19" s="260">
        <f t="shared" ref="C19" si="20">SUM(C17:C18)</f>
        <v>0</v>
      </c>
      <c r="D19" s="260">
        <f t="shared" ref="D19" si="21">SUM(D17:D18)</f>
        <v>0</v>
      </c>
      <c r="E19" s="260">
        <f t="shared" ref="E19" si="22">SUM(E17:E18)</f>
        <v>0</v>
      </c>
      <c r="F19" s="260">
        <f t="shared" ref="F19" si="23">SUM(F17:F18)</f>
        <v>0</v>
      </c>
      <c r="G19" s="260">
        <f t="shared" ref="G19" si="24">SUM(G17:G18)</f>
        <v>0</v>
      </c>
      <c r="H19" s="260">
        <f t="shared" ref="H19" si="25">SUM(H17:H18)</f>
        <v>0</v>
      </c>
      <c r="I19" s="260">
        <f t="shared" ref="I19" si="26">SUM(I17:I18)</f>
        <v>0</v>
      </c>
      <c r="J19" s="260">
        <f t="shared" ref="J19" si="27">SUM(J17:J18)</f>
        <v>0</v>
      </c>
      <c r="K19" s="260">
        <f t="shared" ref="K19" si="28">SUM(K17:K18)</f>
        <v>0</v>
      </c>
      <c r="L19" s="439"/>
      <c r="M19" s="439"/>
      <c r="N19" s="260" t="str">
        <f t="shared" si="17"/>
        <v>جمع</v>
      </c>
    </row>
    <row r="20" spans="1:17" ht="15.75" thickBot="1">
      <c r="A20" s="260">
        <f>B20</f>
        <v>0</v>
      </c>
      <c r="B20" s="260">
        <f t="shared" ref="B20:I20" si="29">IF(C20&gt;0,C20-B17,0)</f>
        <v>0</v>
      </c>
      <c r="C20" s="260">
        <f t="shared" si="29"/>
        <v>0</v>
      </c>
      <c r="D20" s="260">
        <f t="shared" si="29"/>
        <v>0</v>
      </c>
      <c r="E20" s="260">
        <f t="shared" si="29"/>
        <v>0</v>
      </c>
      <c r="F20" s="260">
        <f t="shared" si="29"/>
        <v>0</v>
      </c>
      <c r="G20" s="260">
        <f t="shared" si="29"/>
        <v>0</v>
      </c>
      <c r="H20" s="260">
        <f t="shared" si="29"/>
        <v>0</v>
      </c>
      <c r="I20" s="260">
        <f t="shared" si="29"/>
        <v>0</v>
      </c>
      <c r="J20" s="260">
        <f>IF(K20&gt;0,K20-J17,0)</f>
        <v>0</v>
      </c>
      <c r="K20" s="260">
        <f>IF(Q6=3,$P4-K17,0)</f>
        <v>0</v>
      </c>
      <c r="L20" s="439"/>
      <c r="M20" s="439"/>
      <c r="N20" s="260" t="str">
        <f t="shared" si="17"/>
        <v xml:space="preserve">مانده وام </v>
      </c>
    </row>
    <row r="21" spans="1:17" ht="15.75" thickBot="1">
      <c r="Q21" s="262" t="s">
        <v>479</v>
      </c>
    </row>
    <row r="22" spans="1:17" ht="15.75" thickBot="1">
      <c r="A22" s="261" t="str">
        <f>A16</f>
        <v>جمع</v>
      </c>
      <c r="B22" s="261">
        <v>12</v>
      </c>
      <c r="C22" s="261">
        <v>11</v>
      </c>
      <c r="D22" s="261">
        <v>10</v>
      </c>
      <c r="E22" s="261">
        <v>9</v>
      </c>
      <c r="F22" s="261">
        <v>8</v>
      </c>
      <c r="G22" s="261">
        <v>7</v>
      </c>
      <c r="H22" s="261">
        <v>6</v>
      </c>
      <c r="I22" s="261">
        <v>5</v>
      </c>
      <c r="J22" s="261">
        <v>4</v>
      </c>
      <c r="K22" s="261">
        <v>3</v>
      </c>
      <c r="L22" s="261">
        <v>2</v>
      </c>
      <c r="M22" s="261">
        <v>1</v>
      </c>
      <c r="N22" s="261" t="str">
        <f>N16</f>
        <v>شرح</v>
      </c>
    </row>
    <row r="23" spans="1:17" ht="15.75" thickBot="1">
      <c r="A23" s="260">
        <f>SUM(B23:L23)</f>
        <v>7499999999.999999</v>
      </c>
      <c r="B23" s="260">
        <f t="shared" ref="B23:I23" si="30">IF($Q6=4,$P4/$P7,0)</f>
        <v>833333333.33333337</v>
      </c>
      <c r="C23" s="260">
        <f t="shared" si="30"/>
        <v>833333333.33333337</v>
      </c>
      <c r="D23" s="260">
        <f t="shared" si="30"/>
        <v>833333333.33333337</v>
      </c>
      <c r="E23" s="260">
        <f t="shared" si="30"/>
        <v>833333333.33333337</v>
      </c>
      <c r="F23" s="260">
        <f t="shared" si="30"/>
        <v>833333333.33333337</v>
      </c>
      <c r="G23" s="260">
        <f t="shared" si="30"/>
        <v>833333333.33333337</v>
      </c>
      <c r="H23" s="260">
        <f t="shared" si="30"/>
        <v>833333333.33333337</v>
      </c>
      <c r="I23" s="260">
        <f t="shared" si="30"/>
        <v>833333333.33333337</v>
      </c>
      <c r="J23" s="260">
        <f>IF($Q6=4,$P4/$P7,0)</f>
        <v>833333333.33333337</v>
      </c>
      <c r="K23" s="439"/>
      <c r="L23" s="439"/>
      <c r="M23" s="439"/>
      <c r="N23" s="260" t="str">
        <f>N17</f>
        <v>اصل قسط</v>
      </c>
    </row>
    <row r="24" spans="1:17" ht="15.75" thickBot="1">
      <c r="A24" s="260">
        <f>SUM(B24:L24)</f>
        <v>1000000000</v>
      </c>
      <c r="B24" s="260">
        <f t="shared" ref="B24:G24" si="31">IF(C24&gt;0,C26*$P9/$P7,0)</f>
        <v>55555555.555555575</v>
      </c>
      <c r="C24" s="260">
        <f t="shared" si="31"/>
        <v>69444444.444444463</v>
      </c>
      <c r="D24" s="260">
        <f t="shared" si="31"/>
        <v>83333333.333333358</v>
      </c>
      <c r="E24" s="260">
        <f t="shared" si="31"/>
        <v>97222222.222222224</v>
      </c>
      <c r="F24" s="260">
        <f t="shared" si="31"/>
        <v>111111111.11111112</v>
      </c>
      <c r="G24" s="260">
        <f t="shared" si="31"/>
        <v>125000000</v>
      </c>
      <c r="H24" s="260">
        <f>IF(I24&gt;0,I26*$P9/$P7,0)</f>
        <v>138888888.8888889</v>
      </c>
      <c r="I24" s="260">
        <f>IF(J24&gt;0,J26*$P9/$P7,0)</f>
        <v>152777777.77777776</v>
      </c>
      <c r="J24" s="260">
        <f>IF(Q6=4,P4*P9/P7,0)</f>
        <v>166666666.66666666</v>
      </c>
      <c r="K24" s="439"/>
      <c r="L24" s="439"/>
      <c r="M24" s="439"/>
      <c r="N24" s="260" t="str">
        <f t="shared" ref="N24:N26" si="32">N18</f>
        <v xml:space="preserve">سود </v>
      </c>
    </row>
    <row r="25" spans="1:17" ht="15.75" thickBot="1">
      <c r="A25" s="260">
        <f t="shared" ref="A25:I25" si="33">SUM(A23:A24)</f>
        <v>8499999999.999999</v>
      </c>
      <c r="B25" s="260">
        <f t="shared" si="33"/>
        <v>888888888.88888896</v>
      </c>
      <c r="C25" s="260">
        <f t="shared" si="33"/>
        <v>902777777.77777779</v>
      </c>
      <c r="D25" s="260">
        <f t="shared" si="33"/>
        <v>916666666.66666675</v>
      </c>
      <c r="E25" s="260">
        <f t="shared" si="33"/>
        <v>930555555.55555558</v>
      </c>
      <c r="F25" s="260">
        <f t="shared" si="33"/>
        <v>944444444.44444454</v>
      </c>
      <c r="G25" s="260">
        <f t="shared" si="33"/>
        <v>958333333.33333337</v>
      </c>
      <c r="H25" s="260">
        <f t="shared" si="33"/>
        <v>972222222.22222233</v>
      </c>
      <c r="I25" s="260">
        <f t="shared" si="33"/>
        <v>986111111.11111116</v>
      </c>
      <c r="J25" s="260">
        <f>SUM(J23:J24)</f>
        <v>1000000000</v>
      </c>
      <c r="K25" s="439"/>
      <c r="L25" s="439"/>
      <c r="M25" s="439"/>
      <c r="N25" s="260" t="str">
        <f t="shared" si="32"/>
        <v>جمع</v>
      </c>
    </row>
    <row r="26" spans="1:17" ht="15.75" thickBot="1">
      <c r="A26" s="260">
        <f>B26</f>
        <v>2500000000.0000005</v>
      </c>
      <c r="B26" s="260">
        <f t="shared" ref="B26:H26" si="34">C26-B23</f>
        <v>2500000000.0000005</v>
      </c>
      <c r="C26" s="260">
        <f t="shared" si="34"/>
        <v>3333333333.333334</v>
      </c>
      <c r="D26" s="260">
        <f t="shared" si="34"/>
        <v>4166666666.6666675</v>
      </c>
      <c r="E26" s="260">
        <f t="shared" si="34"/>
        <v>5000000000.000001</v>
      </c>
      <c r="F26" s="260">
        <f t="shared" si="34"/>
        <v>5833333333.333334</v>
      </c>
      <c r="G26" s="260">
        <f t="shared" si="34"/>
        <v>6666666666.666667</v>
      </c>
      <c r="H26" s="260">
        <f t="shared" si="34"/>
        <v>7500000000</v>
      </c>
      <c r="I26" s="260">
        <f>J26-I23</f>
        <v>8333333333.333333</v>
      </c>
      <c r="J26" s="260">
        <f>IF($Q6=4,$P4-J23,0)</f>
        <v>9166666666.666666</v>
      </c>
      <c r="K26" s="439"/>
      <c r="L26" s="439"/>
      <c r="M26" s="439"/>
      <c r="N26" s="260" t="str">
        <f t="shared" si="32"/>
        <v xml:space="preserve">مانده وام </v>
      </c>
    </row>
    <row r="27" spans="1:17" ht="15.75" thickBot="1"/>
    <row r="28" spans="1:17" ht="15.75" thickBot="1">
      <c r="A28" s="261" t="str">
        <f>A22</f>
        <v>جمع</v>
      </c>
      <c r="B28" s="261">
        <v>12</v>
      </c>
      <c r="C28" s="261">
        <v>11</v>
      </c>
      <c r="D28" s="261">
        <v>10</v>
      </c>
      <c r="E28" s="261">
        <v>9</v>
      </c>
      <c r="F28" s="261">
        <v>8</v>
      </c>
      <c r="G28" s="261">
        <v>7</v>
      </c>
      <c r="H28" s="261">
        <v>6</v>
      </c>
      <c r="I28" s="261">
        <v>5</v>
      </c>
      <c r="J28" s="261">
        <v>4</v>
      </c>
      <c r="K28" s="261">
        <v>3</v>
      </c>
      <c r="L28" s="261">
        <v>2</v>
      </c>
      <c r="M28" s="261">
        <v>1</v>
      </c>
      <c r="N28" s="261" t="str">
        <f>N22</f>
        <v>شرح</v>
      </c>
    </row>
    <row r="29" spans="1:17" ht="15.75" thickBot="1">
      <c r="A29" s="260">
        <f>SUM(B29:L29)</f>
        <v>0</v>
      </c>
      <c r="B29" s="260">
        <f t="shared" ref="B29:H29" si="35">IF($Q6=5,$P4/$P7,0)</f>
        <v>0</v>
      </c>
      <c r="C29" s="260">
        <f t="shared" si="35"/>
        <v>0</v>
      </c>
      <c r="D29" s="260">
        <f t="shared" si="35"/>
        <v>0</v>
      </c>
      <c r="E29" s="260">
        <f t="shared" si="35"/>
        <v>0</v>
      </c>
      <c r="F29" s="260">
        <f t="shared" si="35"/>
        <v>0</v>
      </c>
      <c r="G29" s="260">
        <f t="shared" si="35"/>
        <v>0</v>
      </c>
      <c r="H29" s="260">
        <f t="shared" si="35"/>
        <v>0</v>
      </c>
      <c r="I29" s="260">
        <f>IF($Q6=5,$P4/$P7,0)</f>
        <v>0</v>
      </c>
      <c r="J29" s="439"/>
      <c r="K29" s="439"/>
      <c r="L29" s="439"/>
      <c r="M29" s="439"/>
      <c r="N29" s="260" t="str">
        <f>N23</f>
        <v>اصل قسط</v>
      </c>
    </row>
    <row r="30" spans="1:17" ht="15.75" thickBot="1">
      <c r="A30" s="260">
        <f>SUM(B30:L30)</f>
        <v>0</v>
      </c>
      <c r="B30" s="260">
        <f t="shared" ref="B30:G30" si="36">IF(C30&gt;0,C32*$P9/$P7,0)</f>
        <v>0</v>
      </c>
      <c r="C30" s="260">
        <f t="shared" si="36"/>
        <v>0</v>
      </c>
      <c r="D30" s="260">
        <f t="shared" si="36"/>
        <v>0</v>
      </c>
      <c r="E30" s="260">
        <f t="shared" si="36"/>
        <v>0</v>
      </c>
      <c r="F30" s="260">
        <f t="shared" si="36"/>
        <v>0</v>
      </c>
      <c r="G30" s="260">
        <f t="shared" si="36"/>
        <v>0</v>
      </c>
      <c r="H30" s="260">
        <f>IF(I30&gt;0,I32*$P9/$P7,0)</f>
        <v>0</v>
      </c>
      <c r="I30" s="260">
        <f>IF(Q6=5,P4*P9/P7,0)</f>
        <v>0</v>
      </c>
      <c r="J30" s="439"/>
      <c r="K30" s="439"/>
      <c r="L30" s="439"/>
      <c r="M30" s="439"/>
      <c r="N30" s="260" t="str">
        <f t="shared" ref="N30:N32" si="37">N24</f>
        <v xml:space="preserve">سود </v>
      </c>
    </row>
    <row r="31" spans="1:17" ht="15.75" thickBot="1">
      <c r="A31" s="260">
        <f t="shared" ref="A31:I31" si="38">SUM(A29:A30)</f>
        <v>0</v>
      </c>
      <c r="B31" s="260">
        <f t="shared" si="38"/>
        <v>0</v>
      </c>
      <c r="C31" s="260">
        <f t="shared" si="38"/>
        <v>0</v>
      </c>
      <c r="D31" s="260">
        <f t="shared" si="38"/>
        <v>0</v>
      </c>
      <c r="E31" s="260">
        <f t="shared" si="38"/>
        <v>0</v>
      </c>
      <c r="F31" s="260">
        <f t="shared" si="38"/>
        <v>0</v>
      </c>
      <c r="G31" s="260">
        <f t="shared" si="38"/>
        <v>0</v>
      </c>
      <c r="H31" s="260">
        <f t="shared" si="38"/>
        <v>0</v>
      </c>
      <c r="I31" s="260">
        <f t="shared" si="38"/>
        <v>0</v>
      </c>
      <c r="J31" s="439"/>
      <c r="K31" s="439"/>
      <c r="L31" s="439"/>
      <c r="M31" s="439"/>
      <c r="N31" s="260" t="str">
        <f t="shared" si="37"/>
        <v>جمع</v>
      </c>
    </row>
    <row r="32" spans="1:17" ht="15.75" thickBot="1">
      <c r="A32" s="260">
        <f>B32</f>
        <v>0</v>
      </c>
      <c r="B32" s="260">
        <f t="shared" ref="B32" si="39">C32-B29</f>
        <v>0</v>
      </c>
      <c r="C32" s="260">
        <f t="shared" ref="C32" si="40">D32-C29</f>
        <v>0</v>
      </c>
      <c r="D32" s="260">
        <f t="shared" ref="D32" si="41">E32-D29</f>
        <v>0</v>
      </c>
      <c r="E32" s="260">
        <f t="shared" ref="E32" si="42">F32-E29</f>
        <v>0</v>
      </c>
      <c r="F32" s="260">
        <f t="shared" ref="F32" si="43">G32-F29</f>
        <v>0</v>
      </c>
      <c r="G32" s="260">
        <f t="shared" ref="G32" si="44">H32-G29</f>
        <v>0</v>
      </c>
      <c r="H32" s="260">
        <f t="shared" ref="H32" si="45">I32-H29</f>
        <v>0</v>
      </c>
      <c r="I32" s="260">
        <f>IF(Q6=5,P4-I29,0)</f>
        <v>0</v>
      </c>
      <c r="J32" s="439"/>
      <c r="K32" s="439"/>
      <c r="L32" s="439"/>
      <c r="M32" s="439"/>
      <c r="N32" s="260" t="str">
        <f t="shared" si="37"/>
        <v xml:space="preserve">مانده وام </v>
      </c>
    </row>
    <row r="33" spans="1:14" ht="15.75" thickBot="1"/>
    <row r="34" spans="1:14" ht="15.75" thickBot="1">
      <c r="A34" s="261" t="str">
        <f>A28</f>
        <v>جمع</v>
      </c>
      <c r="B34" s="261">
        <v>12</v>
      </c>
      <c r="C34" s="261">
        <v>11</v>
      </c>
      <c r="D34" s="261">
        <v>10</v>
      </c>
      <c r="E34" s="261">
        <v>9</v>
      </c>
      <c r="F34" s="261">
        <v>8</v>
      </c>
      <c r="G34" s="261">
        <v>7</v>
      </c>
      <c r="H34" s="261">
        <v>6</v>
      </c>
      <c r="I34" s="261">
        <v>5</v>
      </c>
      <c r="J34" s="261">
        <v>4</v>
      </c>
      <c r="K34" s="261">
        <v>3</v>
      </c>
      <c r="L34" s="261">
        <v>2</v>
      </c>
      <c r="M34" s="261">
        <v>1</v>
      </c>
      <c r="N34" s="261" t="str">
        <f>N28</f>
        <v>شرح</v>
      </c>
    </row>
    <row r="35" spans="1:14" ht="15.75" thickBot="1">
      <c r="A35" s="260">
        <f>SUM(B35:L35)</f>
        <v>0</v>
      </c>
      <c r="B35" s="260">
        <f t="shared" ref="B35:G35" si="46">IF($Q6=6,$P4/$P7,0)</f>
        <v>0</v>
      </c>
      <c r="C35" s="260">
        <f t="shared" si="46"/>
        <v>0</v>
      </c>
      <c r="D35" s="260">
        <f t="shared" si="46"/>
        <v>0</v>
      </c>
      <c r="E35" s="260">
        <f t="shared" si="46"/>
        <v>0</v>
      </c>
      <c r="F35" s="260">
        <f t="shared" si="46"/>
        <v>0</v>
      </c>
      <c r="G35" s="260">
        <f t="shared" si="46"/>
        <v>0</v>
      </c>
      <c r="H35" s="260">
        <f>IF($Q6=6,$P4/$P7,0)</f>
        <v>0</v>
      </c>
      <c r="I35" s="439"/>
      <c r="J35" s="439"/>
      <c r="K35" s="439"/>
      <c r="L35" s="439"/>
      <c r="M35" s="439"/>
      <c r="N35" s="260" t="str">
        <f>N29</f>
        <v>اصل قسط</v>
      </c>
    </row>
    <row r="36" spans="1:14" ht="15.75" thickBot="1">
      <c r="A36" s="260">
        <f>SUM(B36:L36)</f>
        <v>0</v>
      </c>
      <c r="B36" s="260">
        <f t="shared" ref="B36:F36" si="47">IF(C36&gt;0,C38*$P9/$P7,0)</f>
        <v>0</v>
      </c>
      <c r="C36" s="260">
        <f t="shared" si="47"/>
        <v>0</v>
      </c>
      <c r="D36" s="260">
        <f t="shared" si="47"/>
        <v>0</v>
      </c>
      <c r="E36" s="260">
        <f t="shared" si="47"/>
        <v>0</v>
      </c>
      <c r="F36" s="260">
        <f t="shared" si="47"/>
        <v>0</v>
      </c>
      <c r="G36" s="260">
        <f>IF(H36&gt;0,H38*$P9/$P7,0)</f>
        <v>0</v>
      </c>
      <c r="H36" s="260">
        <f>IF(Q6=6,P4*P9/P7,0)</f>
        <v>0</v>
      </c>
      <c r="I36" s="439"/>
      <c r="J36" s="439"/>
      <c r="K36" s="439"/>
      <c r="L36" s="439"/>
      <c r="M36" s="439"/>
      <c r="N36" s="260" t="str">
        <f t="shared" ref="N36:N38" si="48">N30</f>
        <v xml:space="preserve">سود </v>
      </c>
    </row>
    <row r="37" spans="1:14" ht="15.75" thickBot="1">
      <c r="A37" s="260">
        <f t="shared" ref="A37:H37" si="49">SUM(A35:A36)</f>
        <v>0</v>
      </c>
      <c r="B37" s="260">
        <f t="shared" si="49"/>
        <v>0</v>
      </c>
      <c r="C37" s="260">
        <f t="shared" si="49"/>
        <v>0</v>
      </c>
      <c r="D37" s="260">
        <f t="shared" si="49"/>
        <v>0</v>
      </c>
      <c r="E37" s="260">
        <f t="shared" si="49"/>
        <v>0</v>
      </c>
      <c r="F37" s="260">
        <f t="shared" si="49"/>
        <v>0</v>
      </c>
      <c r="G37" s="260">
        <f t="shared" si="49"/>
        <v>0</v>
      </c>
      <c r="H37" s="260">
        <f t="shared" si="49"/>
        <v>0</v>
      </c>
      <c r="I37" s="439"/>
      <c r="J37" s="439"/>
      <c r="K37" s="439"/>
      <c r="L37" s="439"/>
      <c r="M37" s="439"/>
      <c r="N37" s="260" t="str">
        <f t="shared" si="48"/>
        <v>جمع</v>
      </c>
    </row>
    <row r="38" spans="1:14" ht="15.75" thickBot="1">
      <c r="A38" s="260">
        <f>B38</f>
        <v>0</v>
      </c>
      <c r="B38" s="260">
        <f t="shared" ref="B38" si="50">C38-B35</f>
        <v>0</v>
      </c>
      <c r="C38" s="260">
        <f t="shared" ref="C38" si="51">D38-C35</f>
        <v>0</v>
      </c>
      <c r="D38" s="260">
        <f t="shared" ref="D38" si="52">E38-D35</f>
        <v>0</v>
      </c>
      <c r="E38" s="260">
        <f t="shared" ref="E38" si="53">F38-E35</f>
        <v>0</v>
      </c>
      <c r="F38" s="260">
        <f t="shared" ref="F38:G38" si="54">G38-F35</f>
        <v>0</v>
      </c>
      <c r="G38" s="260">
        <f t="shared" si="54"/>
        <v>0</v>
      </c>
      <c r="H38" s="260">
        <f>IF(Q6=6,P4-H35,0)</f>
        <v>0</v>
      </c>
      <c r="I38" s="439"/>
      <c r="J38" s="439"/>
      <c r="K38" s="439"/>
      <c r="L38" s="439"/>
      <c r="M38" s="439"/>
      <c r="N38" s="260" t="str">
        <f t="shared" si="48"/>
        <v xml:space="preserve">مانده وام </v>
      </c>
    </row>
    <row r="39" spans="1:14" ht="15.75" thickBot="1"/>
    <row r="40" spans="1:14" ht="15.75" thickBot="1">
      <c r="A40" s="261" t="str">
        <f>A34</f>
        <v>جمع</v>
      </c>
      <c r="B40" s="261">
        <v>12</v>
      </c>
      <c r="C40" s="261">
        <v>11</v>
      </c>
      <c r="D40" s="261">
        <v>10</v>
      </c>
      <c r="E40" s="261">
        <v>9</v>
      </c>
      <c r="F40" s="261">
        <v>8</v>
      </c>
      <c r="G40" s="261">
        <v>7</v>
      </c>
      <c r="H40" s="261">
        <v>6</v>
      </c>
      <c r="I40" s="261">
        <v>5</v>
      </c>
      <c r="J40" s="261">
        <v>4</v>
      </c>
      <c r="K40" s="261">
        <v>3</v>
      </c>
      <c r="L40" s="261">
        <v>2</v>
      </c>
      <c r="M40" s="261">
        <v>1</v>
      </c>
      <c r="N40" s="261" t="str">
        <f>N34</f>
        <v>شرح</v>
      </c>
    </row>
    <row r="41" spans="1:14" ht="15.75" thickBot="1">
      <c r="A41" s="260">
        <f>SUM(B41:M41)</f>
        <v>0</v>
      </c>
      <c r="B41" s="260">
        <f t="shared" ref="B41:G41" si="55">IF($Q6=7,$P4/$P7,0)</f>
        <v>0</v>
      </c>
      <c r="C41" s="260">
        <f t="shared" si="55"/>
        <v>0</v>
      </c>
      <c r="D41" s="260">
        <f t="shared" si="55"/>
        <v>0</v>
      </c>
      <c r="E41" s="260">
        <f t="shared" si="55"/>
        <v>0</v>
      </c>
      <c r="F41" s="260">
        <f t="shared" si="55"/>
        <v>0</v>
      </c>
      <c r="G41" s="260">
        <f t="shared" si="55"/>
        <v>0</v>
      </c>
      <c r="H41" s="439"/>
      <c r="I41" s="439"/>
      <c r="J41" s="439"/>
      <c r="K41" s="439"/>
      <c r="L41" s="439"/>
      <c r="M41" s="439"/>
      <c r="N41" s="260" t="str">
        <f>N35</f>
        <v>اصل قسط</v>
      </c>
    </row>
    <row r="42" spans="1:14" ht="15.75" thickBot="1">
      <c r="A42" s="260">
        <f>SUM(B42:L42)</f>
        <v>0</v>
      </c>
      <c r="B42" s="260">
        <f t="shared" ref="B42:E42" si="56">IF(C42&gt;0,C44*$P9/$P7,0)</f>
        <v>0</v>
      </c>
      <c r="C42" s="260">
        <f t="shared" si="56"/>
        <v>0</v>
      </c>
      <c r="D42" s="260">
        <f t="shared" si="56"/>
        <v>0</v>
      </c>
      <c r="E42" s="260">
        <f t="shared" si="56"/>
        <v>0</v>
      </c>
      <c r="F42" s="260">
        <f>IF(G42&gt;0,G44*$P9/$P7,0)</f>
        <v>0</v>
      </c>
      <c r="G42" s="260">
        <f>IF(Q6=7,P4*P9/P7,0)</f>
        <v>0</v>
      </c>
      <c r="H42" s="439"/>
      <c r="I42" s="439"/>
      <c r="J42" s="439"/>
      <c r="K42" s="439"/>
      <c r="L42" s="439"/>
      <c r="M42" s="439"/>
      <c r="N42" s="260" t="str">
        <f t="shared" ref="N42:N44" si="57">N36</f>
        <v xml:space="preserve">سود </v>
      </c>
    </row>
    <row r="43" spans="1:14" ht="15.75" thickBot="1">
      <c r="A43" s="260">
        <f t="shared" ref="A43:G43" si="58">SUM(A41:A42)</f>
        <v>0</v>
      </c>
      <c r="B43" s="260">
        <f t="shared" si="58"/>
        <v>0</v>
      </c>
      <c r="C43" s="260">
        <f t="shared" si="58"/>
        <v>0</v>
      </c>
      <c r="D43" s="260">
        <f t="shared" si="58"/>
        <v>0</v>
      </c>
      <c r="E43" s="260">
        <f t="shared" si="58"/>
        <v>0</v>
      </c>
      <c r="F43" s="260">
        <f t="shared" si="58"/>
        <v>0</v>
      </c>
      <c r="G43" s="260">
        <f t="shared" si="58"/>
        <v>0</v>
      </c>
      <c r="H43" s="439"/>
      <c r="I43" s="439"/>
      <c r="J43" s="439"/>
      <c r="K43" s="439"/>
      <c r="L43" s="439"/>
      <c r="M43" s="439"/>
      <c r="N43" s="260" t="str">
        <f t="shared" si="57"/>
        <v>جمع</v>
      </c>
    </row>
    <row r="44" spans="1:14" ht="15.75" thickBot="1">
      <c r="A44" s="260">
        <f>B44</f>
        <v>0</v>
      </c>
      <c r="B44" s="260">
        <f t="shared" ref="B44" si="59">C44-B41</f>
        <v>0</v>
      </c>
      <c r="C44" s="260">
        <f t="shared" ref="C44" si="60">D44-C41</f>
        <v>0</v>
      </c>
      <c r="D44" s="260">
        <f t="shared" ref="D44" si="61">E44-D41</f>
        <v>0</v>
      </c>
      <c r="E44" s="260">
        <f t="shared" ref="E44" si="62">F44-E41</f>
        <v>0</v>
      </c>
      <c r="F44" s="260">
        <f t="shared" ref="F44" si="63">G44-F41</f>
        <v>0</v>
      </c>
      <c r="G44" s="260">
        <f>IF(Q6=7,P4-G41,0)</f>
        <v>0</v>
      </c>
      <c r="H44" s="439"/>
      <c r="I44" s="439"/>
      <c r="J44" s="439"/>
      <c r="K44" s="439"/>
      <c r="L44" s="439"/>
      <c r="M44" s="439"/>
      <c r="N44" s="260" t="str">
        <f t="shared" si="57"/>
        <v xml:space="preserve">مانده وام </v>
      </c>
    </row>
    <row r="45" spans="1:14" ht="15.75" thickBot="1"/>
    <row r="46" spans="1:14" ht="15.75" thickBot="1">
      <c r="A46" s="261" t="str">
        <f>A40</f>
        <v>جمع</v>
      </c>
      <c r="B46" s="261">
        <v>12</v>
      </c>
      <c r="C46" s="261">
        <v>11</v>
      </c>
      <c r="D46" s="261" t="s">
        <v>480</v>
      </c>
      <c r="E46" s="261">
        <v>9</v>
      </c>
      <c r="F46" s="261">
        <v>8</v>
      </c>
      <c r="G46" s="261">
        <v>7</v>
      </c>
      <c r="H46" s="261">
        <v>6</v>
      </c>
      <c r="I46" s="261">
        <v>5</v>
      </c>
      <c r="J46" s="261">
        <v>4</v>
      </c>
      <c r="K46" s="261">
        <v>3</v>
      </c>
      <c r="L46" s="261">
        <v>2</v>
      </c>
      <c r="M46" s="261">
        <v>1</v>
      </c>
      <c r="N46" s="261" t="str">
        <f>N40</f>
        <v>شرح</v>
      </c>
    </row>
    <row r="47" spans="1:14" ht="15.75" thickBot="1">
      <c r="A47" s="260">
        <f>SUM(B47:M47)</f>
        <v>0</v>
      </c>
      <c r="B47" s="260">
        <f t="shared" ref="B47:E47" si="64">IF($Q6=8,$P4/$P7,0)</f>
        <v>0</v>
      </c>
      <c r="C47" s="260">
        <f t="shared" si="64"/>
        <v>0</v>
      </c>
      <c r="D47" s="260">
        <f t="shared" si="64"/>
        <v>0</v>
      </c>
      <c r="E47" s="260">
        <f t="shared" si="64"/>
        <v>0</v>
      </c>
      <c r="F47" s="260">
        <f>IF($Q6=8,$P4/$P7,0)</f>
        <v>0</v>
      </c>
      <c r="G47" s="439"/>
      <c r="H47" s="439"/>
      <c r="I47" s="439"/>
      <c r="J47" s="439"/>
      <c r="K47" s="439"/>
      <c r="L47" s="439"/>
      <c r="M47" s="439"/>
      <c r="N47" s="260" t="str">
        <f>N41</f>
        <v>اصل قسط</v>
      </c>
    </row>
    <row r="48" spans="1:14" ht="15.75" thickBot="1">
      <c r="A48" s="260">
        <f>SUM(B48:L48)</f>
        <v>0</v>
      </c>
      <c r="B48" s="260">
        <f t="shared" ref="B48:D48" si="65">IF(C48&gt;0,C50*$P9/$P7,0)</f>
        <v>0</v>
      </c>
      <c r="C48" s="260">
        <f t="shared" si="65"/>
        <v>0</v>
      </c>
      <c r="D48" s="260">
        <f t="shared" si="65"/>
        <v>0</v>
      </c>
      <c r="E48" s="260">
        <f>IF(F48&gt;0,F50*$P9/$P7,0)</f>
        <v>0</v>
      </c>
      <c r="F48" s="260">
        <f>IF(Q6=8,P4*P9/P7,0)</f>
        <v>0</v>
      </c>
      <c r="G48" s="439"/>
      <c r="H48" s="439"/>
      <c r="I48" s="439"/>
      <c r="J48" s="439"/>
      <c r="K48" s="439"/>
      <c r="L48" s="439"/>
      <c r="M48" s="439"/>
      <c r="N48" s="260" t="str">
        <f t="shared" ref="N48:N50" si="66">N42</f>
        <v xml:space="preserve">سود </v>
      </c>
    </row>
    <row r="49" spans="1:14" ht="15.75" thickBot="1">
      <c r="A49" s="260">
        <f t="shared" ref="A49:F49" si="67">SUM(A47:A48)</f>
        <v>0</v>
      </c>
      <c r="B49" s="260">
        <f t="shared" si="67"/>
        <v>0</v>
      </c>
      <c r="C49" s="260">
        <f t="shared" si="67"/>
        <v>0</v>
      </c>
      <c r="D49" s="260">
        <f t="shared" si="67"/>
        <v>0</v>
      </c>
      <c r="E49" s="260">
        <f t="shared" si="67"/>
        <v>0</v>
      </c>
      <c r="F49" s="260">
        <f t="shared" si="67"/>
        <v>0</v>
      </c>
      <c r="G49" s="439"/>
      <c r="H49" s="439"/>
      <c r="I49" s="439"/>
      <c r="J49" s="439"/>
      <c r="K49" s="439"/>
      <c r="L49" s="439"/>
      <c r="M49" s="439"/>
      <c r="N49" s="260" t="str">
        <f t="shared" si="66"/>
        <v>جمع</v>
      </c>
    </row>
    <row r="50" spans="1:14" ht="15.75" thickBot="1">
      <c r="A50" s="260">
        <f>B50</f>
        <v>0</v>
      </c>
      <c r="B50" s="260">
        <f t="shared" ref="B50" si="68">C50-B47</f>
        <v>0</v>
      </c>
      <c r="C50" s="260">
        <f t="shared" ref="C50" si="69">D50-C47</f>
        <v>0</v>
      </c>
      <c r="D50" s="260">
        <f t="shared" ref="D50" si="70">E50-D47</f>
        <v>0</v>
      </c>
      <c r="E50" s="260">
        <f t="shared" ref="E50" si="71">F50-E47</f>
        <v>0</v>
      </c>
      <c r="F50" s="260">
        <f>IF(Q6=8,P4-F47,0)</f>
        <v>0</v>
      </c>
      <c r="G50" s="439"/>
      <c r="H50" s="439"/>
      <c r="I50" s="439"/>
      <c r="J50" s="439"/>
      <c r="K50" s="439"/>
      <c r="L50" s="439"/>
      <c r="M50" s="439"/>
      <c r="N50" s="260" t="str">
        <f t="shared" si="66"/>
        <v xml:space="preserve">مانده وام </v>
      </c>
    </row>
    <row r="51" spans="1:14" ht="15.75" thickBot="1"/>
    <row r="52" spans="1:14" ht="15.75" thickBot="1">
      <c r="A52" s="261" t="str">
        <f>A46</f>
        <v>جمع</v>
      </c>
      <c r="B52" s="261">
        <v>12</v>
      </c>
      <c r="C52" s="261">
        <v>11</v>
      </c>
      <c r="D52" s="261">
        <v>10</v>
      </c>
      <c r="E52" s="261">
        <v>9</v>
      </c>
      <c r="F52" s="261">
        <v>8</v>
      </c>
      <c r="G52" s="261">
        <v>7</v>
      </c>
      <c r="H52" s="261">
        <v>6</v>
      </c>
      <c r="I52" s="261">
        <v>5</v>
      </c>
      <c r="J52" s="261">
        <v>4</v>
      </c>
      <c r="K52" s="261">
        <v>3</v>
      </c>
      <c r="L52" s="261">
        <v>2</v>
      </c>
      <c r="M52" s="261">
        <v>1</v>
      </c>
      <c r="N52" s="261" t="str">
        <f>N46</f>
        <v>شرح</v>
      </c>
    </row>
    <row r="53" spans="1:14" ht="15.75" thickBot="1">
      <c r="A53" s="260">
        <f>SUM(B53:M53)</f>
        <v>0</v>
      </c>
      <c r="B53" s="260">
        <f t="shared" ref="B53:D53" si="72">IF($Q6=9,$P4/$P7,0)</f>
        <v>0</v>
      </c>
      <c r="C53" s="260">
        <f t="shared" si="72"/>
        <v>0</v>
      </c>
      <c r="D53" s="260">
        <f t="shared" si="72"/>
        <v>0</v>
      </c>
      <c r="E53" s="260">
        <f>IF($Q6=9,$P4/$P7,0)</f>
        <v>0</v>
      </c>
      <c r="F53" s="439"/>
      <c r="G53" s="439"/>
      <c r="H53" s="439"/>
      <c r="I53" s="439"/>
      <c r="J53" s="439"/>
      <c r="K53" s="439"/>
      <c r="L53" s="439"/>
      <c r="M53" s="439"/>
      <c r="N53" s="260" t="str">
        <f>N47</f>
        <v>اصل قسط</v>
      </c>
    </row>
    <row r="54" spans="1:14" ht="15.75" thickBot="1">
      <c r="A54" s="260">
        <f>SUM(B54:L54)</f>
        <v>0</v>
      </c>
      <c r="B54" s="260">
        <f t="shared" ref="B54:C54" si="73">IF(C54&gt;0,C56*$P9/$P7,0)</f>
        <v>0</v>
      </c>
      <c r="C54" s="260">
        <f t="shared" si="73"/>
        <v>0</v>
      </c>
      <c r="D54" s="260">
        <f>IF(E54&gt;0,E56*$P9/$P7,0)</f>
        <v>0</v>
      </c>
      <c r="E54" s="260">
        <f>IF(Q6=9,P4*P9/P7,0)</f>
        <v>0</v>
      </c>
      <c r="F54" s="439"/>
      <c r="G54" s="439"/>
      <c r="H54" s="439"/>
      <c r="I54" s="439"/>
      <c r="J54" s="439"/>
      <c r="K54" s="439"/>
      <c r="L54" s="439"/>
      <c r="M54" s="439"/>
      <c r="N54" s="260" t="str">
        <f t="shared" ref="N54:N56" si="74">N48</f>
        <v xml:space="preserve">سود </v>
      </c>
    </row>
    <row r="55" spans="1:14" ht="15.75" thickBot="1">
      <c r="A55" s="260">
        <f t="shared" ref="A55:E55" si="75">SUM(A53:A54)</f>
        <v>0</v>
      </c>
      <c r="B55" s="260">
        <f t="shared" si="75"/>
        <v>0</v>
      </c>
      <c r="C55" s="260">
        <f t="shared" si="75"/>
        <v>0</v>
      </c>
      <c r="D55" s="260">
        <f t="shared" si="75"/>
        <v>0</v>
      </c>
      <c r="E55" s="260">
        <f t="shared" si="75"/>
        <v>0</v>
      </c>
      <c r="F55" s="439"/>
      <c r="G55" s="439"/>
      <c r="H55" s="439"/>
      <c r="I55" s="439"/>
      <c r="J55" s="439"/>
      <c r="K55" s="439"/>
      <c r="L55" s="439"/>
      <c r="M55" s="439"/>
      <c r="N55" s="260" t="str">
        <f t="shared" si="74"/>
        <v>جمع</v>
      </c>
    </row>
    <row r="56" spans="1:14" ht="15.75" thickBot="1">
      <c r="A56" s="260">
        <f>B56</f>
        <v>0</v>
      </c>
      <c r="B56" s="260">
        <f t="shared" ref="B56" si="76">C56-B53</f>
        <v>0</v>
      </c>
      <c r="C56" s="260">
        <f t="shared" ref="C56" si="77">D56-C53</f>
        <v>0</v>
      </c>
      <c r="D56" s="260">
        <f t="shared" ref="D56" si="78">E56-D53</f>
        <v>0</v>
      </c>
      <c r="E56" s="260">
        <f>IF(Q6=9,P4-E53,0)</f>
        <v>0</v>
      </c>
      <c r="F56" s="439"/>
      <c r="G56" s="439"/>
      <c r="H56" s="439"/>
      <c r="I56" s="439"/>
      <c r="J56" s="439"/>
      <c r="K56" s="439"/>
      <c r="L56" s="439"/>
      <c r="M56" s="439"/>
      <c r="N56" s="260" t="str">
        <f t="shared" si="74"/>
        <v xml:space="preserve">مانده وام </v>
      </c>
    </row>
    <row r="57" spans="1:14" ht="15.75" thickBot="1"/>
    <row r="58" spans="1:14" ht="15.75" thickBot="1">
      <c r="A58" s="261" t="str">
        <f>A52</f>
        <v>جمع</v>
      </c>
      <c r="B58" s="261">
        <v>12</v>
      </c>
      <c r="C58" s="261">
        <v>11</v>
      </c>
      <c r="D58" s="261">
        <v>10</v>
      </c>
      <c r="E58" s="261">
        <v>9</v>
      </c>
      <c r="F58" s="261">
        <v>8</v>
      </c>
      <c r="G58" s="261">
        <v>7</v>
      </c>
      <c r="H58" s="261">
        <v>6</v>
      </c>
      <c r="I58" s="261">
        <v>5</v>
      </c>
      <c r="J58" s="261">
        <v>4</v>
      </c>
      <c r="K58" s="261">
        <v>3</v>
      </c>
      <c r="L58" s="261">
        <v>2</v>
      </c>
      <c r="M58" s="261">
        <v>1</v>
      </c>
      <c r="N58" s="261" t="str">
        <f>N52</f>
        <v>شرح</v>
      </c>
    </row>
    <row r="59" spans="1:14" ht="15.75" thickBot="1">
      <c r="A59" s="260">
        <f>SUM(B59:M59)</f>
        <v>0</v>
      </c>
      <c r="B59" s="260">
        <f t="shared" ref="B59:C59" si="79">IF($Q6=10,$P4/$P7,0)</f>
        <v>0</v>
      </c>
      <c r="C59" s="260">
        <f t="shared" si="79"/>
        <v>0</v>
      </c>
      <c r="D59" s="260">
        <f>IF($Q6=10,$P4/$P7,0)</f>
        <v>0</v>
      </c>
      <c r="E59" s="439"/>
      <c r="F59" s="439"/>
      <c r="G59" s="439"/>
      <c r="H59" s="439"/>
      <c r="I59" s="439"/>
      <c r="J59" s="439"/>
      <c r="K59" s="439"/>
      <c r="L59" s="439"/>
      <c r="M59" s="439"/>
      <c r="N59" s="260" t="str">
        <f>N53</f>
        <v>اصل قسط</v>
      </c>
    </row>
    <row r="60" spans="1:14" ht="15.75" thickBot="1">
      <c r="A60" s="260">
        <f>SUM(B60:D60)</f>
        <v>0</v>
      </c>
      <c r="B60" s="260">
        <f>IF(C60&gt;0,C62*$P9/$P7,0)</f>
        <v>0</v>
      </c>
      <c r="C60" s="260">
        <f>IF(D60&gt;0,D62*$P9/$P7,0)</f>
        <v>0</v>
      </c>
      <c r="D60" s="260">
        <f>IF(Q6=10,P4*P9/P7,0)</f>
        <v>0</v>
      </c>
      <c r="E60" s="439"/>
      <c r="F60" s="439"/>
      <c r="G60" s="439"/>
      <c r="H60" s="439"/>
      <c r="I60" s="439"/>
      <c r="J60" s="439"/>
      <c r="K60" s="439"/>
      <c r="L60" s="439"/>
      <c r="M60" s="439"/>
      <c r="N60" s="260" t="str">
        <f t="shared" ref="N60:N62" si="80">N54</f>
        <v xml:space="preserve">سود </v>
      </c>
    </row>
    <row r="61" spans="1:14" ht="15.75" thickBot="1">
      <c r="A61" s="260">
        <f>SUM(A59:A60)</f>
        <v>0</v>
      </c>
      <c r="B61" s="260">
        <f>SUM(B59:B60)</f>
        <v>0</v>
      </c>
      <c r="C61" s="260">
        <f>SUM(C59:C60)</f>
        <v>0</v>
      </c>
      <c r="D61" s="260">
        <f>SUM(D59:D60)</f>
        <v>0</v>
      </c>
      <c r="E61" s="439"/>
      <c r="F61" s="439"/>
      <c r="G61" s="439"/>
      <c r="H61" s="439"/>
      <c r="I61" s="439"/>
      <c r="J61" s="439"/>
      <c r="K61" s="439"/>
      <c r="L61" s="439"/>
      <c r="M61" s="439"/>
      <c r="N61" s="260" t="str">
        <f t="shared" si="80"/>
        <v>جمع</v>
      </c>
    </row>
    <row r="62" spans="1:14" ht="15.75" thickBot="1">
      <c r="A62" s="260">
        <f>B62</f>
        <v>0</v>
      </c>
      <c r="B62" s="260">
        <f t="shared" ref="B62" si="81">C62-B59</f>
        <v>0</v>
      </c>
      <c r="C62" s="260">
        <f t="shared" ref="C62" si="82">D62-C59</f>
        <v>0</v>
      </c>
      <c r="D62" s="260">
        <f>IF(Q6=10,P4-D59,0)</f>
        <v>0</v>
      </c>
      <c r="E62" s="439"/>
      <c r="F62" s="439"/>
      <c r="G62" s="439"/>
      <c r="H62" s="439"/>
      <c r="I62" s="439"/>
      <c r="J62" s="439"/>
      <c r="K62" s="439"/>
      <c r="L62" s="439"/>
      <c r="M62" s="439"/>
      <c r="N62" s="260" t="str">
        <f t="shared" si="80"/>
        <v xml:space="preserve">مانده وام </v>
      </c>
    </row>
    <row r="63" spans="1:14" ht="15.75" thickBot="1"/>
    <row r="64" spans="1:14" ht="15.75" thickBot="1">
      <c r="A64" s="261" t="str">
        <f>A58</f>
        <v>جمع</v>
      </c>
      <c r="B64" s="261">
        <v>12</v>
      </c>
      <c r="C64" s="261">
        <v>11</v>
      </c>
      <c r="D64" s="261">
        <v>10</v>
      </c>
      <c r="E64" s="261">
        <v>9</v>
      </c>
      <c r="F64" s="261">
        <v>8</v>
      </c>
      <c r="G64" s="261">
        <v>7</v>
      </c>
      <c r="H64" s="261">
        <v>6</v>
      </c>
      <c r="I64" s="261">
        <v>5</v>
      </c>
      <c r="J64" s="261">
        <v>4</v>
      </c>
      <c r="K64" s="261">
        <v>3</v>
      </c>
      <c r="L64" s="261">
        <v>2</v>
      </c>
      <c r="M64" s="261">
        <v>1</v>
      </c>
      <c r="N64" s="261" t="str">
        <f>N58</f>
        <v>شرح</v>
      </c>
    </row>
    <row r="65" spans="1:14" ht="15.75" thickBot="1">
      <c r="A65" s="260">
        <f>SUM(B65:M65)</f>
        <v>0</v>
      </c>
      <c r="B65" s="260">
        <f>IF($Q6=11,$P4/$P7,0)</f>
        <v>0</v>
      </c>
      <c r="C65" s="260">
        <f>IF($Q6=11,$P4/$P7,0)</f>
        <v>0</v>
      </c>
      <c r="D65" s="439"/>
      <c r="E65" s="439"/>
      <c r="F65" s="439"/>
      <c r="G65" s="439"/>
      <c r="H65" s="439"/>
      <c r="I65" s="439"/>
      <c r="J65" s="439"/>
      <c r="K65" s="439"/>
      <c r="L65" s="439"/>
      <c r="M65" s="439"/>
      <c r="N65" s="260" t="str">
        <f>N59</f>
        <v>اصل قسط</v>
      </c>
    </row>
    <row r="66" spans="1:14" ht="15.75" thickBot="1">
      <c r="A66" s="260">
        <f>SUM(B66:D66)</f>
        <v>0</v>
      </c>
      <c r="B66" s="260">
        <f>IF(C66&gt;0,C68*$P9/$P7,0)</f>
        <v>0</v>
      </c>
      <c r="C66" s="260">
        <f>IF(Q6=11,P4*P9/P7,0)</f>
        <v>0</v>
      </c>
      <c r="D66" s="439"/>
      <c r="E66" s="439"/>
      <c r="F66" s="439"/>
      <c r="G66" s="439"/>
      <c r="H66" s="439"/>
      <c r="I66" s="439"/>
      <c r="J66" s="439"/>
      <c r="K66" s="439"/>
      <c r="L66" s="439"/>
      <c r="M66" s="439"/>
      <c r="N66" s="260" t="str">
        <f t="shared" ref="N66:N68" si="83">N60</f>
        <v xml:space="preserve">سود </v>
      </c>
    </row>
    <row r="67" spans="1:14" ht="15.75" thickBot="1">
      <c r="A67" s="260">
        <f>SUM(A65:A66)</f>
        <v>0</v>
      </c>
      <c r="B67" s="260">
        <f>SUM(B65:B66)</f>
        <v>0</v>
      </c>
      <c r="C67" s="260">
        <f>SUM(C65:C66)</f>
        <v>0</v>
      </c>
      <c r="D67" s="439"/>
      <c r="E67" s="439"/>
      <c r="F67" s="439"/>
      <c r="G67" s="439"/>
      <c r="H67" s="439"/>
      <c r="I67" s="439"/>
      <c r="J67" s="439"/>
      <c r="K67" s="439"/>
      <c r="L67" s="439"/>
      <c r="M67" s="439"/>
      <c r="N67" s="260" t="str">
        <f t="shared" si="83"/>
        <v>جمع</v>
      </c>
    </row>
    <row r="68" spans="1:14" ht="15.75" thickBot="1">
      <c r="A68" s="260">
        <f>B68</f>
        <v>0</v>
      </c>
      <c r="B68" s="260">
        <f t="shared" ref="B68" si="84">C68-B65</f>
        <v>0</v>
      </c>
      <c r="C68" s="260">
        <f>IF(Q6=11,P4-C65,0)</f>
        <v>0</v>
      </c>
      <c r="D68" s="439"/>
      <c r="E68" s="439"/>
      <c r="F68" s="439"/>
      <c r="G68" s="439"/>
      <c r="H68" s="439"/>
      <c r="I68" s="439"/>
      <c r="J68" s="439"/>
      <c r="K68" s="439"/>
      <c r="L68" s="439"/>
      <c r="M68" s="439"/>
      <c r="N68" s="260" t="str">
        <f t="shared" si="83"/>
        <v xml:space="preserve">مانده وام </v>
      </c>
    </row>
    <row r="69" spans="1:14" ht="15.75" thickBot="1"/>
    <row r="70" spans="1:14" ht="15.75" thickBot="1">
      <c r="A70" s="261" t="str">
        <f>A64</f>
        <v>جمع</v>
      </c>
      <c r="B70" s="261">
        <v>12</v>
      </c>
      <c r="C70" s="261">
        <v>11</v>
      </c>
      <c r="D70" s="261">
        <v>10</v>
      </c>
      <c r="E70" s="261">
        <v>9</v>
      </c>
      <c r="F70" s="261">
        <v>8</v>
      </c>
      <c r="G70" s="261">
        <v>7</v>
      </c>
      <c r="H70" s="261">
        <v>6</v>
      </c>
      <c r="I70" s="261">
        <v>5</v>
      </c>
      <c r="J70" s="261">
        <v>4</v>
      </c>
      <c r="K70" s="261">
        <v>3</v>
      </c>
      <c r="L70" s="261">
        <v>2</v>
      </c>
      <c r="M70" s="261">
        <v>1</v>
      </c>
      <c r="N70" s="261" t="str">
        <f>N64</f>
        <v>شرح</v>
      </c>
    </row>
    <row r="71" spans="1:14" ht="15.75" thickBot="1">
      <c r="A71" s="260">
        <f>SUM(B71:M71)</f>
        <v>0</v>
      </c>
      <c r="B71" s="260">
        <f>IF($Q6=12,$P4/$P7,0)</f>
        <v>0</v>
      </c>
      <c r="C71" s="439"/>
      <c r="D71" s="439"/>
      <c r="E71" s="439"/>
      <c r="F71" s="439"/>
      <c r="G71" s="439"/>
      <c r="H71" s="439"/>
      <c r="I71" s="439"/>
      <c r="J71" s="439"/>
      <c r="K71" s="439"/>
      <c r="L71" s="439"/>
      <c r="M71" s="439"/>
      <c r="N71" s="260" t="str">
        <f>N65</f>
        <v>اصل قسط</v>
      </c>
    </row>
    <row r="72" spans="1:14" ht="15.75" thickBot="1">
      <c r="A72" s="260">
        <f>SUM(B72:D72)</f>
        <v>0</v>
      </c>
      <c r="B72" s="260">
        <f>IF(Q6=12,P4*P9/P7,0)</f>
        <v>0</v>
      </c>
      <c r="C72" s="439"/>
      <c r="D72" s="439"/>
      <c r="E72" s="439"/>
      <c r="F72" s="439"/>
      <c r="G72" s="439"/>
      <c r="H72" s="439"/>
      <c r="I72" s="439"/>
      <c r="J72" s="439"/>
      <c r="K72" s="439"/>
      <c r="L72" s="439"/>
      <c r="M72" s="439"/>
      <c r="N72" s="260" t="str">
        <f t="shared" ref="N72:N74" si="85">N66</f>
        <v xml:space="preserve">سود </v>
      </c>
    </row>
    <row r="73" spans="1:14" ht="15.75" thickBot="1">
      <c r="A73" s="260">
        <f>SUM(A71:A72)</f>
        <v>0</v>
      </c>
      <c r="B73" s="260">
        <f>SUM(B71:B72)</f>
        <v>0</v>
      </c>
      <c r="C73" s="439"/>
      <c r="D73" s="439"/>
      <c r="E73" s="439"/>
      <c r="F73" s="439"/>
      <c r="G73" s="439"/>
      <c r="H73" s="439"/>
      <c r="I73" s="439"/>
      <c r="J73" s="439"/>
      <c r="K73" s="439"/>
      <c r="L73" s="439"/>
      <c r="M73" s="439"/>
      <c r="N73" s="260" t="str">
        <f t="shared" si="85"/>
        <v>جمع</v>
      </c>
    </row>
    <row r="74" spans="1:14" ht="15.75" thickBot="1">
      <c r="A74" s="260">
        <f>B74</f>
        <v>0</v>
      </c>
      <c r="B74" s="260">
        <f>IF(Q6=12,P4-B71,0)</f>
        <v>0</v>
      </c>
      <c r="C74" s="439"/>
      <c r="D74" s="439"/>
      <c r="E74" s="439"/>
      <c r="F74" s="439"/>
      <c r="G74" s="439"/>
      <c r="H74" s="439"/>
      <c r="I74" s="439"/>
      <c r="J74" s="439"/>
      <c r="K74" s="439"/>
      <c r="L74" s="439"/>
      <c r="M74" s="439"/>
      <c r="N74" s="260" t="str">
        <f t="shared" si="85"/>
        <v xml:space="preserve">مانده وام </v>
      </c>
    </row>
    <row r="75" spans="1:14" ht="15.75" thickBot="1"/>
    <row r="76" spans="1:14" ht="15.75" thickBot="1">
      <c r="A76" s="261" t="str">
        <f>A70</f>
        <v>جمع</v>
      </c>
      <c r="B76" s="261">
        <v>12</v>
      </c>
      <c r="C76" s="261">
        <v>11</v>
      </c>
      <c r="D76" s="261">
        <v>10</v>
      </c>
      <c r="E76" s="261">
        <v>9</v>
      </c>
      <c r="F76" s="261">
        <v>8</v>
      </c>
      <c r="G76" s="261">
        <v>7</v>
      </c>
      <c r="H76" s="261">
        <v>6</v>
      </c>
      <c r="I76" s="261">
        <v>5</v>
      </c>
      <c r="J76" s="261">
        <v>4</v>
      </c>
      <c r="K76" s="261">
        <v>3</v>
      </c>
      <c r="L76" s="261">
        <v>2</v>
      </c>
      <c r="M76" s="261">
        <v>1</v>
      </c>
      <c r="N76" s="261" t="str">
        <f>N70</f>
        <v>شرح</v>
      </c>
    </row>
    <row r="77" spans="1:14" ht="15.75" thickBot="1">
      <c r="A77" s="440">
        <f t="shared" ref="A77:M77" si="86">A71+A65+A59+A53+A47+A41+A35+A29+A23+A17+A11+A5</f>
        <v>7499999999.999999</v>
      </c>
      <c r="B77" s="440">
        <f t="shared" si="86"/>
        <v>833333333.33333337</v>
      </c>
      <c r="C77" s="440">
        <f t="shared" si="86"/>
        <v>833333333.33333337</v>
      </c>
      <c r="D77" s="440">
        <f t="shared" si="86"/>
        <v>833333333.33333337</v>
      </c>
      <c r="E77" s="440">
        <f t="shared" si="86"/>
        <v>833333333.33333337</v>
      </c>
      <c r="F77" s="440">
        <f t="shared" si="86"/>
        <v>833333333.33333337</v>
      </c>
      <c r="G77" s="440">
        <f t="shared" si="86"/>
        <v>833333333.33333337</v>
      </c>
      <c r="H77" s="440">
        <f t="shared" si="86"/>
        <v>833333333.33333337</v>
      </c>
      <c r="I77" s="440">
        <f t="shared" si="86"/>
        <v>833333333.33333337</v>
      </c>
      <c r="J77" s="440">
        <f t="shared" si="86"/>
        <v>833333333.33333337</v>
      </c>
      <c r="K77" s="440">
        <f t="shared" si="86"/>
        <v>0</v>
      </c>
      <c r="L77" s="440">
        <f t="shared" si="86"/>
        <v>0</v>
      </c>
      <c r="M77" s="440">
        <f t="shared" si="86"/>
        <v>0</v>
      </c>
      <c r="N77" s="260" t="str">
        <f>N71</f>
        <v>اصل قسط</v>
      </c>
    </row>
    <row r="78" spans="1:14" ht="15.75" thickBot="1">
      <c r="A78" s="440">
        <f t="shared" ref="A78:M78" si="87">A72+A66+A60+A54+A48+A42+A36+A30+A24+A18+A12+A6</f>
        <v>1000000000</v>
      </c>
      <c r="B78" s="440">
        <f t="shared" si="87"/>
        <v>55555555.555555575</v>
      </c>
      <c r="C78" s="440">
        <f t="shared" si="87"/>
        <v>69444444.444444463</v>
      </c>
      <c r="D78" s="440">
        <f t="shared" si="87"/>
        <v>83333333.333333358</v>
      </c>
      <c r="E78" s="440">
        <f t="shared" si="87"/>
        <v>97222222.222222224</v>
      </c>
      <c r="F78" s="440">
        <f t="shared" si="87"/>
        <v>111111111.11111112</v>
      </c>
      <c r="G78" s="440">
        <f t="shared" si="87"/>
        <v>125000000</v>
      </c>
      <c r="H78" s="440">
        <f t="shared" si="87"/>
        <v>138888888.8888889</v>
      </c>
      <c r="I78" s="440">
        <f t="shared" si="87"/>
        <v>152777777.77777776</v>
      </c>
      <c r="J78" s="440">
        <f t="shared" si="87"/>
        <v>166666666.66666666</v>
      </c>
      <c r="K78" s="440">
        <f t="shared" si="87"/>
        <v>0</v>
      </c>
      <c r="L78" s="440">
        <f t="shared" si="87"/>
        <v>0</v>
      </c>
      <c r="M78" s="440">
        <f t="shared" si="87"/>
        <v>0</v>
      </c>
      <c r="N78" s="260" t="str">
        <f t="shared" ref="N78:N80" si="88">N72</f>
        <v xml:space="preserve">سود </v>
      </c>
    </row>
    <row r="79" spans="1:14" ht="15.75" thickBot="1">
      <c r="A79" s="440">
        <f t="shared" ref="A79:M79" si="89">A73+A67+A61+A55+A49+A43+A37+A31+A25+A19+A13+A7</f>
        <v>8499999999.999999</v>
      </c>
      <c r="B79" s="440">
        <f t="shared" si="89"/>
        <v>888888888.88888896</v>
      </c>
      <c r="C79" s="440">
        <f t="shared" si="89"/>
        <v>902777777.77777779</v>
      </c>
      <c r="D79" s="440">
        <f t="shared" si="89"/>
        <v>916666666.66666675</v>
      </c>
      <c r="E79" s="440">
        <f t="shared" si="89"/>
        <v>930555555.55555558</v>
      </c>
      <c r="F79" s="440">
        <f t="shared" si="89"/>
        <v>944444444.44444454</v>
      </c>
      <c r="G79" s="440">
        <f t="shared" si="89"/>
        <v>958333333.33333337</v>
      </c>
      <c r="H79" s="440">
        <f t="shared" si="89"/>
        <v>972222222.22222233</v>
      </c>
      <c r="I79" s="440">
        <f t="shared" si="89"/>
        <v>986111111.11111116</v>
      </c>
      <c r="J79" s="440">
        <f t="shared" si="89"/>
        <v>1000000000</v>
      </c>
      <c r="K79" s="440">
        <f t="shared" si="89"/>
        <v>0</v>
      </c>
      <c r="L79" s="440">
        <f t="shared" si="89"/>
        <v>0</v>
      </c>
      <c r="M79" s="440">
        <f t="shared" si="89"/>
        <v>0</v>
      </c>
      <c r="N79" s="260" t="str">
        <f t="shared" si="88"/>
        <v>جمع</v>
      </c>
    </row>
    <row r="80" spans="1:14" ht="15.75" thickBot="1">
      <c r="A80" s="440">
        <f t="shared" ref="A80:M80" si="90">A74+A68+A62+A56+A50+A44+A38+A32+A26+A20+A14+A8</f>
        <v>2500000000.0000005</v>
      </c>
      <c r="B80" s="440">
        <f t="shared" si="90"/>
        <v>2500000000.0000005</v>
      </c>
      <c r="C80" s="440">
        <f t="shared" si="90"/>
        <v>3333333333.333334</v>
      </c>
      <c r="D80" s="440">
        <f t="shared" si="90"/>
        <v>4166666666.6666675</v>
      </c>
      <c r="E80" s="440">
        <f t="shared" si="90"/>
        <v>5000000000.000001</v>
      </c>
      <c r="F80" s="440">
        <f t="shared" si="90"/>
        <v>5833333333.333334</v>
      </c>
      <c r="G80" s="440">
        <f t="shared" si="90"/>
        <v>6666666666.666667</v>
      </c>
      <c r="H80" s="440">
        <f t="shared" si="90"/>
        <v>7500000000</v>
      </c>
      <c r="I80" s="440">
        <f t="shared" si="90"/>
        <v>8333333333.333333</v>
      </c>
      <c r="J80" s="440">
        <f t="shared" si="90"/>
        <v>9166666666.666666</v>
      </c>
      <c r="K80" s="440">
        <f t="shared" si="90"/>
        <v>0</v>
      </c>
      <c r="L80" s="440">
        <f t="shared" si="90"/>
        <v>0</v>
      </c>
      <c r="M80" s="440">
        <f t="shared" si="90"/>
        <v>0</v>
      </c>
      <c r="N80" s="260" t="str">
        <f t="shared" si="88"/>
        <v xml:space="preserve">مانده وام </v>
      </c>
    </row>
  </sheetData>
  <mergeCells count="9">
    <mergeCell ref="P2:R2"/>
    <mergeCell ref="Q4:R4"/>
    <mergeCell ref="P11:Q11"/>
    <mergeCell ref="P12:Q12"/>
    <mergeCell ref="R5:R6"/>
    <mergeCell ref="P7:Q7"/>
    <mergeCell ref="P8:Q8"/>
    <mergeCell ref="P9:Q9"/>
    <mergeCell ref="P10:Q10"/>
  </mergeCells>
  <hyperlinks>
    <hyperlink ref="P2:R2" r:id="rId1" location="'فهرست مطالب'!A1" display="پیش بینی دریافت وام کوتاه مدت"/>
  </hyperlinks>
  <pageMargins left="0.7" right="0.7" top="0.75" bottom="0.75" header="0.3" footer="0.3"/>
  <pageSetup paperSize="0" orientation="portrait" horizontalDpi="0" verticalDpi="0" copies="0"/>
</worksheet>
</file>

<file path=xl/worksheets/sheet26.xml><?xml version="1.0" encoding="utf-8"?>
<worksheet xmlns="http://schemas.openxmlformats.org/spreadsheetml/2006/main" xmlns:r="http://schemas.openxmlformats.org/officeDocument/2006/relationships">
  <sheetPr>
    <tabColor rgb="FFFF0000"/>
  </sheetPr>
  <dimension ref="B1:S37"/>
  <sheetViews>
    <sheetView topLeftCell="A7" zoomScale="90" zoomScaleNormal="90" workbookViewId="0">
      <selection activeCell="I26" sqref="I26"/>
    </sheetView>
  </sheetViews>
  <sheetFormatPr defaultRowHeight="21"/>
  <cols>
    <col min="1" max="2" width="9.140625" style="266"/>
    <col min="3" max="3" width="16.5703125" style="266" bestFit="1" customWidth="1"/>
    <col min="4" max="13" width="10.7109375" style="266" customWidth="1"/>
    <col min="14" max="14" width="11.85546875" style="266" customWidth="1"/>
    <col min="15" max="15" width="10.7109375" style="266" customWidth="1"/>
    <col min="16" max="16" width="15" style="266" bestFit="1" customWidth="1"/>
    <col min="17" max="17" width="10.5703125" style="266" customWidth="1"/>
    <col min="18" max="18" width="9.140625" style="266"/>
    <col min="19" max="19" width="15.28515625" style="266" bestFit="1" customWidth="1"/>
    <col min="20" max="16384" width="9.140625" style="266"/>
  </cols>
  <sheetData>
    <row r="1" spans="2:19" ht="21.75" thickBot="1"/>
    <row r="2" spans="2:19" ht="29.25" thickBot="1">
      <c r="D2" s="755" t="s">
        <v>512</v>
      </c>
      <c r="E2" s="756"/>
      <c r="F2" s="756"/>
      <c r="G2" s="756"/>
      <c r="H2" s="756"/>
      <c r="I2" s="756"/>
      <c r="J2" s="756"/>
      <c r="K2" s="756"/>
      <c r="L2" s="756"/>
      <c r="M2" s="756"/>
      <c r="N2" s="756"/>
      <c r="O2" s="757"/>
    </row>
    <row r="3" spans="2:19" ht="21.75" thickBot="1"/>
    <row r="4" spans="2:19" ht="22.5" customHeight="1" thickTop="1" thickBot="1">
      <c r="B4" s="772" t="s">
        <v>513</v>
      </c>
      <c r="C4" s="772"/>
      <c r="D4" s="267" t="s">
        <v>11</v>
      </c>
      <c r="E4" s="267" t="s">
        <v>10</v>
      </c>
      <c r="F4" s="267" t="s">
        <v>9</v>
      </c>
      <c r="G4" s="267" t="s">
        <v>8</v>
      </c>
      <c r="H4" s="267" t="s">
        <v>40</v>
      </c>
      <c r="I4" s="267" t="s">
        <v>6</v>
      </c>
      <c r="J4" s="267" t="s">
        <v>5</v>
      </c>
      <c r="K4" s="267" t="s">
        <v>4</v>
      </c>
      <c r="L4" s="267" t="s">
        <v>183</v>
      </c>
      <c r="M4" s="267" t="s">
        <v>2</v>
      </c>
      <c r="N4" s="267" t="s">
        <v>484</v>
      </c>
      <c r="O4" s="267" t="s">
        <v>0</v>
      </c>
      <c r="P4" s="267" t="s">
        <v>487</v>
      </c>
      <c r="Q4" s="774" t="s">
        <v>483</v>
      </c>
      <c r="S4" s="769" t="s">
        <v>494</v>
      </c>
    </row>
    <row r="5" spans="2:19" ht="21.75" thickBot="1">
      <c r="B5" s="290">
        <f>C5/12</f>
        <v>23.75</v>
      </c>
      <c r="C5" s="268">
        <f>SUM(D5:O5)</f>
        <v>285</v>
      </c>
      <c r="D5" s="818">
        <v>30</v>
      </c>
      <c r="E5" s="818">
        <v>30</v>
      </c>
      <c r="F5" s="818">
        <v>30</v>
      </c>
      <c r="G5" s="818">
        <v>30</v>
      </c>
      <c r="H5" s="818">
        <v>30</v>
      </c>
      <c r="I5" s="818">
        <v>30</v>
      </c>
      <c r="J5" s="818">
        <v>30</v>
      </c>
      <c r="K5" s="594">
        <v>15</v>
      </c>
      <c r="L5" s="594">
        <v>15</v>
      </c>
      <c r="M5" s="594">
        <v>15</v>
      </c>
      <c r="N5" s="594">
        <v>15</v>
      </c>
      <c r="O5" s="267">
        <v>15</v>
      </c>
      <c r="P5" s="267" t="s">
        <v>485</v>
      </c>
      <c r="Q5" s="775"/>
      <c r="S5" s="770"/>
    </row>
    <row r="6" spans="2:19" ht="21.75" thickBot="1">
      <c r="B6" s="290">
        <f t="shared" ref="B6:B8" si="0">C6/12</f>
        <v>20.833333333333332</v>
      </c>
      <c r="C6" s="268">
        <f t="shared" ref="C6:C8" si="1">SUM(D6:O6)</f>
        <v>250</v>
      </c>
      <c r="D6" s="818">
        <v>25</v>
      </c>
      <c r="E6" s="818">
        <v>25</v>
      </c>
      <c r="F6" s="818">
        <v>25</v>
      </c>
      <c r="G6" s="818">
        <v>25</v>
      </c>
      <c r="H6" s="818">
        <v>25</v>
      </c>
      <c r="I6" s="818">
        <v>25</v>
      </c>
      <c r="J6" s="818">
        <v>25</v>
      </c>
      <c r="K6" s="594">
        <v>15</v>
      </c>
      <c r="L6" s="594">
        <v>15</v>
      </c>
      <c r="M6" s="594">
        <v>15</v>
      </c>
      <c r="N6" s="594">
        <v>15</v>
      </c>
      <c r="O6" s="267">
        <v>15</v>
      </c>
      <c r="P6" s="267" t="s">
        <v>486</v>
      </c>
      <c r="Q6" s="775"/>
      <c r="S6" s="770"/>
    </row>
    <row r="7" spans="2:19" ht="21.75" thickBot="1">
      <c r="B7" s="290">
        <f t="shared" si="0"/>
        <v>44.583333333333336</v>
      </c>
      <c r="C7" s="268">
        <f t="shared" si="1"/>
        <v>535</v>
      </c>
      <c r="D7" s="268">
        <f t="shared" ref="D7:N7" si="2">SUM(D5:D6)</f>
        <v>55</v>
      </c>
      <c r="E7" s="268">
        <f t="shared" si="2"/>
        <v>55</v>
      </c>
      <c r="F7" s="268">
        <f t="shared" si="2"/>
        <v>55</v>
      </c>
      <c r="G7" s="268">
        <f t="shared" si="2"/>
        <v>55</v>
      </c>
      <c r="H7" s="268">
        <f t="shared" si="2"/>
        <v>55</v>
      </c>
      <c r="I7" s="268">
        <f t="shared" si="2"/>
        <v>55</v>
      </c>
      <c r="J7" s="268">
        <f t="shared" si="2"/>
        <v>55</v>
      </c>
      <c r="K7" s="268">
        <f t="shared" si="2"/>
        <v>30</v>
      </c>
      <c r="L7" s="268">
        <f t="shared" si="2"/>
        <v>30</v>
      </c>
      <c r="M7" s="268">
        <f t="shared" si="2"/>
        <v>30</v>
      </c>
      <c r="N7" s="268">
        <f t="shared" si="2"/>
        <v>30</v>
      </c>
      <c r="O7" s="268">
        <f>SUM(O5:O6)</f>
        <v>30</v>
      </c>
      <c r="P7" s="267" t="s">
        <v>492</v>
      </c>
      <c r="Q7" s="775"/>
      <c r="S7" s="770"/>
    </row>
    <row r="8" spans="2:19" ht="42.75" thickBot="1">
      <c r="B8" s="316">
        <f t="shared" si="0"/>
        <v>44.583333333333336</v>
      </c>
      <c r="C8" s="315">
        <f t="shared" si="1"/>
        <v>535</v>
      </c>
      <c r="D8" s="819">
        <f t="shared" ref="D8:N8" si="3">D7</f>
        <v>55</v>
      </c>
      <c r="E8" s="819">
        <f t="shared" si="3"/>
        <v>55</v>
      </c>
      <c r="F8" s="819">
        <f t="shared" si="3"/>
        <v>55</v>
      </c>
      <c r="G8" s="819">
        <f t="shared" si="3"/>
        <v>55</v>
      </c>
      <c r="H8" s="819">
        <f t="shared" si="3"/>
        <v>55</v>
      </c>
      <c r="I8" s="819">
        <f t="shared" si="3"/>
        <v>55</v>
      </c>
      <c r="J8" s="819">
        <f t="shared" si="3"/>
        <v>55</v>
      </c>
      <c r="K8" s="315">
        <f t="shared" si="3"/>
        <v>30</v>
      </c>
      <c r="L8" s="315">
        <f t="shared" si="3"/>
        <v>30</v>
      </c>
      <c r="M8" s="315">
        <f t="shared" si="3"/>
        <v>30</v>
      </c>
      <c r="N8" s="315">
        <f t="shared" si="3"/>
        <v>30</v>
      </c>
      <c r="O8" s="315">
        <f>O7</f>
        <v>30</v>
      </c>
      <c r="P8" s="294" t="s">
        <v>540</v>
      </c>
      <c r="Q8" s="775"/>
      <c r="S8" s="770"/>
    </row>
    <row r="9" spans="2:19" ht="21.75" thickBot="1">
      <c r="S9" s="770"/>
    </row>
    <row r="10" spans="2:19" ht="21.75" customHeight="1" thickBot="1">
      <c r="B10" s="772" t="s">
        <v>513</v>
      </c>
      <c r="C10" s="772"/>
      <c r="D10" s="267" t="s">
        <v>11</v>
      </c>
      <c r="E10" s="267" t="s">
        <v>10</v>
      </c>
      <c r="F10" s="267" t="s">
        <v>9</v>
      </c>
      <c r="G10" s="267" t="s">
        <v>8</v>
      </c>
      <c r="H10" s="267" t="s">
        <v>40</v>
      </c>
      <c r="I10" s="267" t="s">
        <v>6</v>
      </c>
      <c r="J10" s="267" t="s">
        <v>5</v>
      </c>
      <c r="K10" s="267" t="s">
        <v>4</v>
      </c>
      <c r="L10" s="267" t="s">
        <v>183</v>
      </c>
      <c r="M10" s="267" t="s">
        <v>2</v>
      </c>
      <c r="N10" s="267" t="s">
        <v>484</v>
      </c>
      <c r="O10" s="267" t="s">
        <v>0</v>
      </c>
      <c r="P10" s="267" t="s">
        <v>487</v>
      </c>
      <c r="Q10" s="758" t="s">
        <v>493</v>
      </c>
      <c r="S10" s="770"/>
    </row>
    <row r="11" spans="2:19" ht="21.75" thickBot="1">
      <c r="B11" s="290">
        <f>C11/12</f>
        <v>4.583333333333333</v>
      </c>
      <c r="C11" s="268">
        <f>SUM(D11:O11)</f>
        <v>55</v>
      </c>
      <c r="D11" s="818">
        <v>5</v>
      </c>
      <c r="E11" s="818">
        <v>5</v>
      </c>
      <c r="F11" s="818">
        <v>5</v>
      </c>
      <c r="G11" s="818">
        <v>5</v>
      </c>
      <c r="H11" s="818">
        <v>5</v>
      </c>
      <c r="I11" s="818">
        <v>5</v>
      </c>
      <c r="J11" s="818">
        <v>5</v>
      </c>
      <c r="K11" s="594">
        <v>4</v>
      </c>
      <c r="L11" s="594">
        <v>4</v>
      </c>
      <c r="M11" s="594">
        <v>4</v>
      </c>
      <c r="N11" s="594">
        <v>4</v>
      </c>
      <c r="O11" s="267">
        <v>4</v>
      </c>
      <c r="P11" s="267" t="s">
        <v>485</v>
      </c>
      <c r="Q11" s="759"/>
      <c r="S11" s="770"/>
    </row>
    <row r="12" spans="2:19" ht="21.75" thickBot="1">
      <c r="B12" s="290">
        <f t="shared" ref="B12:B14" si="4">C12/12</f>
        <v>17.916666666666668</v>
      </c>
      <c r="C12" s="268">
        <f t="shared" ref="C12:C14" si="5">SUM(D12:O12)</f>
        <v>215</v>
      </c>
      <c r="D12" s="818">
        <v>20</v>
      </c>
      <c r="E12" s="818">
        <v>20</v>
      </c>
      <c r="F12" s="818">
        <v>20</v>
      </c>
      <c r="G12" s="818">
        <v>20</v>
      </c>
      <c r="H12" s="818">
        <v>20</v>
      </c>
      <c r="I12" s="818">
        <v>20</v>
      </c>
      <c r="J12" s="818">
        <v>20</v>
      </c>
      <c r="K12" s="594">
        <v>15</v>
      </c>
      <c r="L12" s="594">
        <v>15</v>
      </c>
      <c r="M12" s="594">
        <v>15</v>
      </c>
      <c r="N12" s="594">
        <v>15</v>
      </c>
      <c r="O12" s="267">
        <v>15</v>
      </c>
      <c r="P12" s="267" t="s">
        <v>486</v>
      </c>
      <c r="Q12" s="759"/>
      <c r="S12" s="770"/>
    </row>
    <row r="13" spans="2:19" ht="21.75" thickBot="1">
      <c r="B13" s="290">
        <f t="shared" si="4"/>
        <v>22.5</v>
      </c>
      <c r="C13" s="268">
        <f t="shared" si="5"/>
        <v>270</v>
      </c>
      <c r="D13" s="268">
        <f t="shared" ref="D13:N13" si="6">SUM(D11:D12)</f>
        <v>25</v>
      </c>
      <c r="E13" s="268">
        <f t="shared" si="6"/>
        <v>25</v>
      </c>
      <c r="F13" s="268">
        <f t="shared" si="6"/>
        <v>25</v>
      </c>
      <c r="G13" s="268">
        <f t="shared" si="6"/>
        <v>25</v>
      </c>
      <c r="H13" s="268">
        <f t="shared" si="6"/>
        <v>25</v>
      </c>
      <c r="I13" s="268">
        <f t="shared" si="6"/>
        <v>25</v>
      </c>
      <c r="J13" s="268">
        <f t="shared" si="6"/>
        <v>25</v>
      </c>
      <c r="K13" s="268">
        <f t="shared" si="6"/>
        <v>19</v>
      </c>
      <c r="L13" s="268">
        <f t="shared" si="6"/>
        <v>19</v>
      </c>
      <c r="M13" s="268">
        <f t="shared" si="6"/>
        <v>19</v>
      </c>
      <c r="N13" s="268">
        <f t="shared" si="6"/>
        <v>19</v>
      </c>
      <c r="O13" s="268">
        <f>SUM(O11:O12)</f>
        <v>19</v>
      </c>
      <c r="P13" s="267" t="s">
        <v>492</v>
      </c>
      <c r="Q13" s="759"/>
      <c r="S13" s="770"/>
    </row>
    <row r="14" spans="2:19" ht="42.75" thickBot="1">
      <c r="B14" s="316">
        <f t="shared" si="4"/>
        <v>22.5</v>
      </c>
      <c r="C14" s="315">
        <f t="shared" si="5"/>
        <v>270</v>
      </c>
      <c r="D14" s="819">
        <f t="shared" ref="D14:N14" si="7">D13</f>
        <v>25</v>
      </c>
      <c r="E14" s="819">
        <f t="shared" si="7"/>
        <v>25</v>
      </c>
      <c r="F14" s="819">
        <f t="shared" si="7"/>
        <v>25</v>
      </c>
      <c r="G14" s="819">
        <f t="shared" si="7"/>
        <v>25</v>
      </c>
      <c r="H14" s="819">
        <f t="shared" si="7"/>
        <v>25</v>
      </c>
      <c r="I14" s="819">
        <f t="shared" si="7"/>
        <v>25</v>
      </c>
      <c r="J14" s="819">
        <f t="shared" si="7"/>
        <v>25</v>
      </c>
      <c r="K14" s="315">
        <f t="shared" si="7"/>
        <v>19</v>
      </c>
      <c r="L14" s="315">
        <f t="shared" si="7"/>
        <v>19</v>
      </c>
      <c r="M14" s="315">
        <f t="shared" si="7"/>
        <v>19</v>
      </c>
      <c r="N14" s="315">
        <f t="shared" si="7"/>
        <v>19</v>
      </c>
      <c r="O14" s="315">
        <f>O13</f>
        <v>19</v>
      </c>
      <c r="P14" s="294" t="s">
        <v>540</v>
      </c>
      <c r="Q14" s="759"/>
      <c r="S14" s="770"/>
    </row>
    <row r="15" spans="2:19" ht="21.75" thickBot="1">
      <c r="S15" s="770"/>
    </row>
    <row r="16" spans="2:19" ht="21.75" customHeight="1" thickBot="1">
      <c r="B16" s="772" t="s">
        <v>513</v>
      </c>
      <c r="C16" s="772"/>
      <c r="D16" s="267" t="s">
        <v>11</v>
      </c>
      <c r="E16" s="267" t="s">
        <v>10</v>
      </c>
      <c r="F16" s="267" t="s">
        <v>9</v>
      </c>
      <c r="G16" s="267" t="s">
        <v>8</v>
      </c>
      <c r="H16" s="267" t="s">
        <v>40</v>
      </c>
      <c r="I16" s="267" t="s">
        <v>6</v>
      </c>
      <c r="J16" s="267" t="s">
        <v>5</v>
      </c>
      <c r="K16" s="267" t="s">
        <v>4</v>
      </c>
      <c r="L16" s="267" t="s">
        <v>183</v>
      </c>
      <c r="M16" s="267" t="s">
        <v>2</v>
      </c>
      <c r="N16" s="267" t="s">
        <v>484</v>
      </c>
      <c r="O16" s="267" t="s">
        <v>0</v>
      </c>
      <c r="P16" s="267" t="s">
        <v>487</v>
      </c>
      <c r="Q16" s="760" t="s">
        <v>489</v>
      </c>
      <c r="S16" s="770"/>
    </row>
    <row r="17" spans="2:19" ht="21.75" thickBot="1">
      <c r="B17" s="290">
        <f>C17/12</f>
        <v>8</v>
      </c>
      <c r="C17" s="268">
        <f>SUM(D17:O17)</f>
        <v>96</v>
      </c>
      <c r="D17" s="594">
        <v>8</v>
      </c>
      <c r="E17" s="594">
        <v>8</v>
      </c>
      <c r="F17" s="594">
        <v>8</v>
      </c>
      <c r="G17" s="594">
        <v>8</v>
      </c>
      <c r="H17" s="594">
        <v>8</v>
      </c>
      <c r="I17" s="594">
        <v>8</v>
      </c>
      <c r="J17" s="594">
        <v>8</v>
      </c>
      <c r="K17" s="594">
        <v>8</v>
      </c>
      <c r="L17" s="594">
        <v>8</v>
      </c>
      <c r="M17" s="594">
        <v>8</v>
      </c>
      <c r="N17" s="594">
        <v>8</v>
      </c>
      <c r="O17" s="267">
        <v>8</v>
      </c>
      <c r="P17" s="267" t="s">
        <v>485</v>
      </c>
      <c r="Q17" s="761"/>
      <c r="S17" s="770"/>
    </row>
    <row r="18" spans="2:19" ht="21.75" thickBot="1">
      <c r="B18" s="290">
        <f t="shared" ref="B18:B20" si="8">C18/12</f>
        <v>12</v>
      </c>
      <c r="C18" s="268">
        <f t="shared" ref="C18:C20" si="9">SUM(D18:O18)</f>
        <v>144</v>
      </c>
      <c r="D18" s="594">
        <v>12</v>
      </c>
      <c r="E18" s="594">
        <v>12</v>
      </c>
      <c r="F18" s="594">
        <v>12</v>
      </c>
      <c r="G18" s="594">
        <v>12</v>
      </c>
      <c r="H18" s="594">
        <v>12</v>
      </c>
      <c r="I18" s="594">
        <v>12</v>
      </c>
      <c r="J18" s="594">
        <v>12</v>
      </c>
      <c r="K18" s="594">
        <v>12</v>
      </c>
      <c r="L18" s="594">
        <v>12</v>
      </c>
      <c r="M18" s="594">
        <v>12</v>
      </c>
      <c r="N18" s="594">
        <v>12</v>
      </c>
      <c r="O18" s="267">
        <v>12</v>
      </c>
      <c r="P18" s="267" t="s">
        <v>486</v>
      </c>
      <c r="Q18" s="761"/>
      <c r="S18" s="770"/>
    </row>
    <row r="19" spans="2:19" ht="21.75" thickBot="1">
      <c r="B19" s="290">
        <f t="shared" si="8"/>
        <v>20</v>
      </c>
      <c r="C19" s="268">
        <f t="shared" si="9"/>
        <v>240</v>
      </c>
      <c r="D19" s="268">
        <f t="shared" ref="D19:N19" si="10">SUM(D17:D18)</f>
        <v>20</v>
      </c>
      <c r="E19" s="268">
        <f t="shared" si="10"/>
        <v>20</v>
      </c>
      <c r="F19" s="268">
        <f t="shared" si="10"/>
        <v>20</v>
      </c>
      <c r="G19" s="268">
        <f t="shared" si="10"/>
        <v>20</v>
      </c>
      <c r="H19" s="268">
        <f t="shared" si="10"/>
        <v>20</v>
      </c>
      <c r="I19" s="268">
        <f t="shared" si="10"/>
        <v>20</v>
      </c>
      <c r="J19" s="268">
        <f t="shared" si="10"/>
        <v>20</v>
      </c>
      <c r="K19" s="268">
        <f t="shared" si="10"/>
        <v>20</v>
      </c>
      <c r="L19" s="268">
        <f t="shared" si="10"/>
        <v>20</v>
      </c>
      <c r="M19" s="268">
        <f t="shared" si="10"/>
        <v>20</v>
      </c>
      <c r="N19" s="268">
        <f t="shared" si="10"/>
        <v>20</v>
      </c>
      <c r="O19" s="268">
        <f>SUM(O17:O18)</f>
        <v>20</v>
      </c>
      <c r="P19" s="267" t="s">
        <v>492</v>
      </c>
      <c r="Q19" s="761"/>
      <c r="S19" s="770"/>
    </row>
    <row r="20" spans="2:19" ht="42.75" thickBot="1">
      <c r="B20" s="316">
        <f t="shared" si="8"/>
        <v>20</v>
      </c>
      <c r="C20" s="315">
        <f t="shared" si="9"/>
        <v>240</v>
      </c>
      <c r="D20" s="315">
        <f t="shared" ref="D20:N20" si="11">D19</f>
        <v>20</v>
      </c>
      <c r="E20" s="315">
        <f t="shared" si="11"/>
        <v>20</v>
      </c>
      <c r="F20" s="315">
        <f t="shared" si="11"/>
        <v>20</v>
      </c>
      <c r="G20" s="315">
        <f t="shared" si="11"/>
        <v>20</v>
      </c>
      <c r="H20" s="315">
        <f t="shared" si="11"/>
        <v>20</v>
      </c>
      <c r="I20" s="315">
        <f t="shared" si="11"/>
        <v>20</v>
      </c>
      <c r="J20" s="315">
        <f t="shared" si="11"/>
        <v>20</v>
      </c>
      <c r="K20" s="315">
        <f t="shared" si="11"/>
        <v>20</v>
      </c>
      <c r="L20" s="315">
        <f t="shared" si="11"/>
        <v>20</v>
      </c>
      <c r="M20" s="315">
        <f t="shared" si="11"/>
        <v>20</v>
      </c>
      <c r="N20" s="315">
        <f t="shared" si="11"/>
        <v>20</v>
      </c>
      <c r="O20" s="315">
        <f>O19</f>
        <v>20</v>
      </c>
      <c r="P20" s="294" t="s">
        <v>540</v>
      </c>
      <c r="Q20" s="761"/>
      <c r="S20" s="770"/>
    </row>
    <row r="21" spans="2:19" ht="21.75" thickBot="1">
      <c r="S21" s="770"/>
    </row>
    <row r="22" spans="2:19" ht="21.75" customHeight="1" thickBot="1">
      <c r="B22" s="772" t="s">
        <v>513</v>
      </c>
      <c r="C22" s="772"/>
      <c r="D22" s="267" t="s">
        <v>11</v>
      </c>
      <c r="E22" s="267" t="s">
        <v>10</v>
      </c>
      <c r="F22" s="267" t="s">
        <v>9</v>
      </c>
      <c r="G22" s="267" t="s">
        <v>8</v>
      </c>
      <c r="H22" s="267" t="s">
        <v>40</v>
      </c>
      <c r="I22" s="267" t="s">
        <v>6</v>
      </c>
      <c r="J22" s="267" t="s">
        <v>5</v>
      </c>
      <c r="K22" s="267" t="s">
        <v>4</v>
      </c>
      <c r="L22" s="267" t="s">
        <v>183</v>
      </c>
      <c r="M22" s="267" t="s">
        <v>2</v>
      </c>
      <c r="N22" s="267" t="s">
        <v>484</v>
      </c>
      <c r="O22" s="267" t="s">
        <v>0</v>
      </c>
      <c r="P22" s="267" t="s">
        <v>487</v>
      </c>
      <c r="Q22" s="762" t="s">
        <v>490</v>
      </c>
      <c r="S22" s="770"/>
    </row>
    <row r="23" spans="2:19" ht="30.75" customHeight="1" thickBot="1">
      <c r="B23" s="290">
        <f>C23/12</f>
        <v>5.166666666666667</v>
      </c>
      <c r="C23" s="268">
        <f>SUM(D23:O23)</f>
        <v>62</v>
      </c>
      <c r="D23" s="818">
        <v>6</v>
      </c>
      <c r="E23" s="818">
        <v>6</v>
      </c>
      <c r="F23" s="818">
        <v>6</v>
      </c>
      <c r="G23" s="818">
        <v>6</v>
      </c>
      <c r="H23" s="818">
        <v>6</v>
      </c>
      <c r="I23" s="818">
        <v>6</v>
      </c>
      <c r="J23" s="818">
        <v>6</v>
      </c>
      <c r="K23" s="594">
        <v>4</v>
      </c>
      <c r="L23" s="594">
        <v>4</v>
      </c>
      <c r="M23" s="594">
        <v>4</v>
      </c>
      <c r="N23" s="594">
        <v>4</v>
      </c>
      <c r="O23" s="267">
        <v>4</v>
      </c>
      <c r="P23" s="267" t="s">
        <v>485</v>
      </c>
      <c r="Q23" s="763"/>
      <c r="S23" s="770"/>
    </row>
    <row r="24" spans="2:19" ht="28.5" customHeight="1" thickBot="1">
      <c r="B24" s="290">
        <f t="shared" ref="B24:B26" si="12">C24/12</f>
        <v>15.5</v>
      </c>
      <c r="C24" s="268">
        <f t="shared" ref="C24:C26" si="13">SUM(D24:O24)</f>
        <v>186</v>
      </c>
      <c r="D24" s="818">
        <v>18</v>
      </c>
      <c r="E24" s="818">
        <v>18</v>
      </c>
      <c r="F24" s="818">
        <v>18</v>
      </c>
      <c r="G24" s="818">
        <v>18</v>
      </c>
      <c r="H24" s="818">
        <v>18</v>
      </c>
      <c r="I24" s="818">
        <v>18</v>
      </c>
      <c r="J24" s="818">
        <v>18</v>
      </c>
      <c r="K24" s="594">
        <v>12</v>
      </c>
      <c r="L24" s="594">
        <v>12</v>
      </c>
      <c r="M24" s="594">
        <v>12</v>
      </c>
      <c r="N24" s="594">
        <v>12</v>
      </c>
      <c r="O24" s="267">
        <v>12</v>
      </c>
      <c r="P24" s="267" t="s">
        <v>486</v>
      </c>
      <c r="Q24" s="763"/>
      <c r="S24" s="770"/>
    </row>
    <row r="25" spans="2:19" ht="21.75" thickBot="1">
      <c r="B25" s="290">
        <f t="shared" si="12"/>
        <v>20.666666666666668</v>
      </c>
      <c r="C25" s="268">
        <f t="shared" si="13"/>
        <v>248</v>
      </c>
      <c r="D25" s="268">
        <f t="shared" ref="D25:N25" si="14">SUM(D23:D24)</f>
        <v>24</v>
      </c>
      <c r="E25" s="268">
        <f t="shared" si="14"/>
        <v>24</v>
      </c>
      <c r="F25" s="268">
        <f t="shared" si="14"/>
        <v>24</v>
      </c>
      <c r="G25" s="268">
        <f t="shared" si="14"/>
        <v>24</v>
      </c>
      <c r="H25" s="268">
        <f t="shared" si="14"/>
        <v>24</v>
      </c>
      <c r="I25" s="268">
        <f t="shared" si="14"/>
        <v>24</v>
      </c>
      <c r="J25" s="268">
        <f t="shared" si="14"/>
        <v>24</v>
      </c>
      <c r="K25" s="268">
        <f t="shared" si="14"/>
        <v>16</v>
      </c>
      <c r="L25" s="268">
        <f t="shared" si="14"/>
        <v>16</v>
      </c>
      <c r="M25" s="268">
        <f t="shared" si="14"/>
        <v>16</v>
      </c>
      <c r="N25" s="268">
        <f t="shared" si="14"/>
        <v>16</v>
      </c>
      <c r="O25" s="268">
        <f>SUM(O23:O24)</f>
        <v>16</v>
      </c>
      <c r="P25" s="267" t="s">
        <v>492</v>
      </c>
      <c r="Q25" s="763"/>
      <c r="S25" s="770"/>
    </row>
    <row r="26" spans="2:19" ht="42.75" thickBot="1">
      <c r="B26" s="316">
        <f t="shared" si="12"/>
        <v>20.666666666666668</v>
      </c>
      <c r="C26" s="315">
        <f t="shared" si="13"/>
        <v>248</v>
      </c>
      <c r="D26" s="819">
        <f t="shared" ref="D26:N26" si="15">D25</f>
        <v>24</v>
      </c>
      <c r="E26" s="819">
        <f t="shared" si="15"/>
        <v>24</v>
      </c>
      <c r="F26" s="819">
        <f t="shared" si="15"/>
        <v>24</v>
      </c>
      <c r="G26" s="819">
        <f t="shared" si="15"/>
        <v>24</v>
      </c>
      <c r="H26" s="819">
        <f t="shared" si="15"/>
        <v>24</v>
      </c>
      <c r="I26" s="819">
        <f t="shared" si="15"/>
        <v>24</v>
      </c>
      <c r="J26" s="819">
        <f t="shared" si="15"/>
        <v>24</v>
      </c>
      <c r="K26" s="315">
        <f t="shared" si="15"/>
        <v>16</v>
      </c>
      <c r="L26" s="315">
        <f t="shared" si="15"/>
        <v>16</v>
      </c>
      <c r="M26" s="315">
        <f t="shared" si="15"/>
        <v>16</v>
      </c>
      <c r="N26" s="315">
        <f t="shared" si="15"/>
        <v>16</v>
      </c>
      <c r="O26" s="315">
        <f>O25</f>
        <v>16</v>
      </c>
      <c r="P26" s="294" t="s">
        <v>540</v>
      </c>
      <c r="Q26" s="763"/>
      <c r="S26" s="770"/>
    </row>
    <row r="27" spans="2:19" ht="21.75" thickBot="1">
      <c r="S27" s="770"/>
    </row>
    <row r="28" spans="2:19" ht="21.75" customHeight="1" thickBot="1">
      <c r="B28" s="772" t="s">
        <v>513</v>
      </c>
      <c r="C28" s="772"/>
      <c r="D28" s="267" t="s">
        <v>11</v>
      </c>
      <c r="E28" s="267" t="s">
        <v>10</v>
      </c>
      <c r="F28" s="267" t="s">
        <v>9</v>
      </c>
      <c r="G28" s="267" t="s">
        <v>8</v>
      </c>
      <c r="H28" s="267" t="s">
        <v>40</v>
      </c>
      <c r="I28" s="267" t="s">
        <v>6</v>
      </c>
      <c r="J28" s="267" t="s">
        <v>5</v>
      </c>
      <c r="K28" s="267" t="s">
        <v>4</v>
      </c>
      <c r="L28" s="267" t="s">
        <v>183</v>
      </c>
      <c r="M28" s="267" t="s">
        <v>2</v>
      </c>
      <c r="N28" s="267" t="s">
        <v>484</v>
      </c>
      <c r="O28" s="267" t="s">
        <v>0</v>
      </c>
      <c r="P28" s="267" t="s">
        <v>487</v>
      </c>
      <c r="Q28" s="764" t="s">
        <v>491</v>
      </c>
      <c r="S28" s="770"/>
    </row>
    <row r="29" spans="2:19" ht="21.75" thickBot="1">
      <c r="B29" s="290">
        <f>C29/12</f>
        <v>1</v>
      </c>
      <c r="C29" s="268">
        <f>SUM(D29:O29)</f>
        <v>12</v>
      </c>
      <c r="D29" s="594">
        <v>1</v>
      </c>
      <c r="E29" s="594">
        <v>1</v>
      </c>
      <c r="F29" s="594">
        <v>1</v>
      </c>
      <c r="G29" s="594">
        <v>1</v>
      </c>
      <c r="H29" s="594">
        <v>1</v>
      </c>
      <c r="I29" s="454">
        <v>1</v>
      </c>
      <c r="J29" s="818">
        <v>1</v>
      </c>
      <c r="K29" s="818">
        <v>1</v>
      </c>
      <c r="L29" s="818">
        <v>1</v>
      </c>
      <c r="M29" s="818">
        <v>1</v>
      </c>
      <c r="N29" s="818">
        <v>1</v>
      </c>
      <c r="O29" s="818">
        <v>1</v>
      </c>
      <c r="P29" s="267" t="s">
        <v>485</v>
      </c>
      <c r="Q29" s="765"/>
      <c r="S29" s="770"/>
    </row>
    <row r="30" spans="2:19" ht="21.75" thickBot="1">
      <c r="B30" s="290">
        <f t="shared" ref="B30:B32" si="16">C30/12</f>
        <v>3</v>
      </c>
      <c r="C30" s="268">
        <f t="shared" ref="C30:C32" si="17">SUM(D30:O30)</f>
        <v>36</v>
      </c>
      <c r="D30" s="594">
        <v>2</v>
      </c>
      <c r="E30" s="594">
        <v>2</v>
      </c>
      <c r="F30" s="594">
        <v>2</v>
      </c>
      <c r="G30" s="594">
        <v>2</v>
      </c>
      <c r="H30" s="594">
        <v>2</v>
      </c>
      <c r="I30" s="454">
        <v>2</v>
      </c>
      <c r="J30" s="818">
        <v>4</v>
      </c>
      <c r="K30" s="818">
        <v>4</v>
      </c>
      <c r="L30" s="818">
        <v>4</v>
      </c>
      <c r="M30" s="818">
        <v>4</v>
      </c>
      <c r="N30" s="818">
        <v>4</v>
      </c>
      <c r="O30" s="818">
        <v>4</v>
      </c>
      <c r="P30" s="267" t="s">
        <v>486</v>
      </c>
      <c r="Q30" s="765"/>
      <c r="S30" s="770"/>
    </row>
    <row r="31" spans="2:19" ht="21.75" thickBot="1">
      <c r="B31" s="290">
        <f t="shared" si="16"/>
        <v>4</v>
      </c>
      <c r="C31" s="268">
        <f t="shared" si="17"/>
        <v>48</v>
      </c>
      <c r="D31" s="268">
        <f t="shared" ref="D31:N31" si="18">SUM(D29:D30)</f>
        <v>3</v>
      </c>
      <c r="E31" s="268">
        <f t="shared" si="18"/>
        <v>3</v>
      </c>
      <c r="F31" s="268">
        <f t="shared" si="18"/>
        <v>3</v>
      </c>
      <c r="G31" s="268">
        <f t="shared" si="18"/>
        <v>3</v>
      </c>
      <c r="H31" s="268">
        <f t="shared" si="18"/>
        <v>3</v>
      </c>
      <c r="I31" s="268">
        <f t="shared" si="18"/>
        <v>3</v>
      </c>
      <c r="J31" s="268">
        <f t="shared" si="18"/>
        <v>5</v>
      </c>
      <c r="K31" s="268">
        <f t="shared" si="18"/>
        <v>5</v>
      </c>
      <c r="L31" s="268">
        <f t="shared" si="18"/>
        <v>5</v>
      </c>
      <c r="M31" s="268">
        <f t="shared" si="18"/>
        <v>5</v>
      </c>
      <c r="N31" s="268">
        <f t="shared" si="18"/>
        <v>5</v>
      </c>
      <c r="O31" s="268">
        <f>SUM(O29:O30)</f>
        <v>5</v>
      </c>
      <c r="P31" s="267" t="s">
        <v>492</v>
      </c>
      <c r="Q31" s="765"/>
      <c r="S31" s="770"/>
    </row>
    <row r="32" spans="2:19" ht="42.75" thickBot="1">
      <c r="B32" s="316">
        <f t="shared" si="16"/>
        <v>4</v>
      </c>
      <c r="C32" s="315">
        <f t="shared" si="17"/>
        <v>48</v>
      </c>
      <c r="D32" s="315">
        <f t="shared" ref="D32:N32" si="19">D31</f>
        <v>3</v>
      </c>
      <c r="E32" s="315">
        <f t="shared" si="19"/>
        <v>3</v>
      </c>
      <c r="F32" s="315">
        <f t="shared" si="19"/>
        <v>3</v>
      </c>
      <c r="G32" s="315">
        <f t="shared" si="19"/>
        <v>3</v>
      </c>
      <c r="H32" s="315">
        <f t="shared" si="19"/>
        <v>3</v>
      </c>
      <c r="I32" s="315">
        <f t="shared" si="19"/>
        <v>3</v>
      </c>
      <c r="J32" s="315">
        <f t="shared" si="19"/>
        <v>5</v>
      </c>
      <c r="K32" s="315">
        <f t="shared" si="19"/>
        <v>5</v>
      </c>
      <c r="L32" s="315">
        <f t="shared" si="19"/>
        <v>5</v>
      </c>
      <c r="M32" s="315">
        <f t="shared" si="19"/>
        <v>5</v>
      </c>
      <c r="N32" s="315">
        <f t="shared" si="19"/>
        <v>5</v>
      </c>
      <c r="O32" s="315">
        <f>O31</f>
        <v>5</v>
      </c>
      <c r="P32" s="294" t="s">
        <v>540</v>
      </c>
      <c r="Q32" s="765"/>
      <c r="S32" s="770"/>
    </row>
    <row r="33" spans="2:19" ht="21.75" thickBot="1">
      <c r="B33" s="773" t="s">
        <v>513</v>
      </c>
      <c r="C33" s="773"/>
      <c r="S33" s="770"/>
    </row>
    <row r="34" spans="2:19" ht="21.75" customHeight="1" thickBot="1">
      <c r="B34" s="290">
        <f>C34/12</f>
        <v>42.5</v>
      </c>
      <c r="C34" s="268">
        <f>SUM(D34:O34)</f>
        <v>510</v>
      </c>
      <c r="D34" s="268">
        <f t="shared" ref="D34:O35" si="20">D11+D17+D23+D29+D5</f>
        <v>50</v>
      </c>
      <c r="E34" s="268">
        <f t="shared" si="20"/>
        <v>50</v>
      </c>
      <c r="F34" s="268">
        <f t="shared" si="20"/>
        <v>50</v>
      </c>
      <c r="G34" s="268">
        <f t="shared" si="20"/>
        <v>50</v>
      </c>
      <c r="H34" s="268">
        <f t="shared" si="20"/>
        <v>50</v>
      </c>
      <c r="I34" s="268">
        <f t="shared" si="20"/>
        <v>50</v>
      </c>
      <c r="J34" s="268">
        <f t="shared" si="20"/>
        <v>50</v>
      </c>
      <c r="K34" s="268">
        <f t="shared" si="20"/>
        <v>32</v>
      </c>
      <c r="L34" s="268">
        <f t="shared" si="20"/>
        <v>32</v>
      </c>
      <c r="M34" s="268">
        <f t="shared" si="20"/>
        <v>32</v>
      </c>
      <c r="N34" s="268">
        <f t="shared" si="20"/>
        <v>32</v>
      </c>
      <c r="O34" s="268">
        <f t="shared" si="20"/>
        <v>32</v>
      </c>
      <c r="P34" s="267" t="s">
        <v>485</v>
      </c>
      <c r="Q34" s="766" t="s">
        <v>492</v>
      </c>
      <c r="S34" s="770"/>
    </row>
    <row r="35" spans="2:19" ht="21.75" thickBot="1">
      <c r="B35" s="290">
        <f t="shared" ref="B35:B36" si="21">C35/12</f>
        <v>69.25</v>
      </c>
      <c r="C35" s="268">
        <f t="shared" ref="C35:C36" si="22">SUM(D35:O35)</f>
        <v>831</v>
      </c>
      <c r="D35" s="268">
        <f t="shared" si="20"/>
        <v>77</v>
      </c>
      <c r="E35" s="268">
        <f t="shared" si="20"/>
        <v>77</v>
      </c>
      <c r="F35" s="268">
        <f t="shared" si="20"/>
        <v>77</v>
      </c>
      <c r="G35" s="268">
        <f t="shared" si="20"/>
        <v>77</v>
      </c>
      <c r="H35" s="268">
        <f t="shared" si="20"/>
        <v>77</v>
      </c>
      <c r="I35" s="268">
        <f t="shared" si="20"/>
        <v>77</v>
      </c>
      <c r="J35" s="268">
        <f t="shared" si="20"/>
        <v>79</v>
      </c>
      <c r="K35" s="268">
        <f t="shared" si="20"/>
        <v>58</v>
      </c>
      <c r="L35" s="268">
        <f t="shared" si="20"/>
        <v>58</v>
      </c>
      <c r="M35" s="268">
        <f t="shared" si="20"/>
        <v>58</v>
      </c>
      <c r="N35" s="268">
        <f t="shared" si="20"/>
        <v>58</v>
      </c>
      <c r="O35" s="268">
        <f t="shared" si="20"/>
        <v>58</v>
      </c>
      <c r="P35" s="267" t="s">
        <v>486</v>
      </c>
      <c r="Q35" s="767"/>
      <c r="S35" s="770"/>
    </row>
    <row r="36" spans="2:19" ht="21.75" thickBot="1">
      <c r="B36" s="290">
        <f t="shared" si="21"/>
        <v>111.75</v>
      </c>
      <c r="C36" s="268">
        <f t="shared" si="22"/>
        <v>1341</v>
      </c>
      <c r="D36" s="268">
        <f t="shared" ref="D36:O36" si="23">D13+D19+D25+D31+D7</f>
        <v>127</v>
      </c>
      <c r="E36" s="268">
        <f t="shared" si="23"/>
        <v>127</v>
      </c>
      <c r="F36" s="268">
        <f t="shared" si="23"/>
        <v>127</v>
      </c>
      <c r="G36" s="268">
        <f t="shared" si="23"/>
        <v>127</v>
      </c>
      <c r="H36" s="268">
        <f t="shared" si="23"/>
        <v>127</v>
      </c>
      <c r="I36" s="268">
        <f t="shared" si="23"/>
        <v>127</v>
      </c>
      <c r="J36" s="268">
        <f t="shared" si="23"/>
        <v>129</v>
      </c>
      <c r="K36" s="268">
        <f t="shared" si="23"/>
        <v>90</v>
      </c>
      <c r="L36" s="268">
        <f t="shared" si="23"/>
        <v>90</v>
      </c>
      <c r="M36" s="268">
        <f t="shared" si="23"/>
        <v>90</v>
      </c>
      <c r="N36" s="268">
        <f t="shared" si="23"/>
        <v>90</v>
      </c>
      <c r="O36" s="268">
        <f t="shared" si="23"/>
        <v>90</v>
      </c>
      <c r="P36" s="267" t="s">
        <v>189</v>
      </c>
      <c r="Q36" s="767"/>
      <c r="S36" s="771"/>
    </row>
    <row r="37" spans="2:19" ht="21.75" thickBot="1">
      <c r="B37" s="315">
        <f t="shared" ref="B37:N37" si="24">B32+B26+B20+B14+B8</f>
        <v>111.75</v>
      </c>
      <c r="C37" s="315">
        <f t="shared" si="24"/>
        <v>1341</v>
      </c>
      <c r="D37" s="315">
        <f t="shared" si="24"/>
        <v>127</v>
      </c>
      <c r="E37" s="315">
        <f t="shared" si="24"/>
        <v>127</v>
      </c>
      <c r="F37" s="315">
        <f t="shared" si="24"/>
        <v>127</v>
      </c>
      <c r="G37" s="315">
        <f t="shared" si="24"/>
        <v>127</v>
      </c>
      <c r="H37" s="315">
        <f t="shared" si="24"/>
        <v>127</v>
      </c>
      <c r="I37" s="315">
        <f t="shared" si="24"/>
        <v>127</v>
      </c>
      <c r="J37" s="315">
        <f t="shared" si="24"/>
        <v>129</v>
      </c>
      <c r="K37" s="315">
        <f t="shared" si="24"/>
        <v>90</v>
      </c>
      <c r="L37" s="315">
        <f t="shared" si="24"/>
        <v>90</v>
      </c>
      <c r="M37" s="315">
        <f t="shared" si="24"/>
        <v>90</v>
      </c>
      <c r="N37" s="315">
        <f t="shared" si="24"/>
        <v>90</v>
      </c>
      <c r="O37" s="315">
        <f>O32+O26+O20+O14+O8</f>
        <v>90</v>
      </c>
      <c r="P37" s="267" t="s">
        <v>541</v>
      </c>
      <c r="Q37" s="768"/>
    </row>
  </sheetData>
  <mergeCells count="14">
    <mergeCell ref="Q34:Q37"/>
    <mergeCell ref="S4:S36"/>
    <mergeCell ref="B4:C4"/>
    <mergeCell ref="B10:C10"/>
    <mergeCell ref="B16:C16"/>
    <mergeCell ref="B22:C22"/>
    <mergeCell ref="B28:C28"/>
    <mergeCell ref="B33:C33"/>
    <mergeCell ref="Q4:Q8"/>
    <mergeCell ref="D2:O2"/>
    <mergeCell ref="Q10:Q14"/>
    <mergeCell ref="Q16:Q20"/>
    <mergeCell ref="Q22:Q26"/>
    <mergeCell ref="Q28:Q32"/>
  </mergeCells>
  <hyperlinks>
    <hyperlink ref="D2:O2" r:id="rId1" location="'فهرست مطالب'!A1" display="سال بودجه - تعداد پرسنل به تفکیک مراکز هزینه"/>
  </hyperlinks>
  <pageMargins left="0.7" right="0.7" top="0.75" bottom="0.75" header="0.3" footer="0.3"/>
  <pageSetup paperSize="0" orientation="portrait" horizontalDpi="0" verticalDpi="0" copies="0" r:id="rId2"/>
  <drawing r:id="rId3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FF0000"/>
  </sheetPr>
  <dimension ref="D1:V32"/>
  <sheetViews>
    <sheetView topLeftCell="L18" zoomScale="80" zoomScaleNormal="80" workbookViewId="0">
      <selection activeCell="T30" sqref="T30"/>
    </sheetView>
  </sheetViews>
  <sheetFormatPr defaultColWidth="15.5703125" defaultRowHeight="21"/>
  <cols>
    <col min="1" max="3" width="15.5703125" style="269"/>
    <col min="4" max="15" width="17.7109375" style="269" bestFit="1" customWidth="1"/>
    <col min="16" max="16" width="19.85546875" style="269" bestFit="1" customWidth="1"/>
    <col min="17" max="17" width="4.7109375" style="269" bestFit="1" customWidth="1"/>
    <col min="18" max="19" width="15.5703125" style="269"/>
    <col min="20" max="20" width="16" style="269" bestFit="1" customWidth="1"/>
    <col min="21" max="21" width="48.85546875" style="269" bestFit="1" customWidth="1"/>
    <col min="22" max="22" width="3.5703125" style="269" bestFit="1" customWidth="1"/>
    <col min="23" max="16384" width="15.5703125" style="269"/>
  </cols>
  <sheetData>
    <row r="1" spans="4:22" ht="21.75" thickBot="1"/>
    <row r="2" spans="4:22" ht="29.25" thickBot="1">
      <c r="D2" s="776" t="s">
        <v>488</v>
      </c>
      <c r="E2" s="777"/>
      <c r="F2" s="777"/>
      <c r="G2" s="777"/>
      <c r="H2" s="777"/>
      <c r="I2" s="777"/>
      <c r="J2" s="777"/>
      <c r="K2" s="777"/>
      <c r="L2" s="777"/>
      <c r="M2" s="777"/>
      <c r="N2" s="777"/>
      <c r="O2" s="778"/>
      <c r="T2" s="786" t="s">
        <v>565</v>
      </c>
      <c r="U2" s="786"/>
      <c r="V2" s="786"/>
    </row>
    <row r="3" spans="4:22" ht="21.75" thickBot="1">
      <c r="D3" s="269">
        <v>29</v>
      </c>
      <c r="E3" s="269">
        <v>30</v>
      </c>
      <c r="F3" s="269">
        <v>30</v>
      </c>
      <c r="G3" s="269">
        <v>30</v>
      </c>
      <c r="H3" s="269">
        <v>30</v>
      </c>
      <c r="I3" s="269">
        <v>30</v>
      </c>
      <c r="J3" s="269">
        <v>31</v>
      </c>
      <c r="K3" s="269">
        <v>31</v>
      </c>
      <c r="L3" s="269">
        <v>31</v>
      </c>
      <c r="M3" s="269">
        <v>31</v>
      </c>
      <c r="N3" s="269">
        <v>31</v>
      </c>
      <c r="O3" s="269">
        <v>31</v>
      </c>
      <c r="P3" s="269" t="s">
        <v>511</v>
      </c>
      <c r="T3" s="273" t="s">
        <v>501</v>
      </c>
    </row>
    <row r="4" spans="4:22" ht="22.5" customHeight="1" thickBot="1">
      <c r="D4" s="270" t="s">
        <v>11</v>
      </c>
      <c r="E4" s="270" t="s">
        <v>10</v>
      </c>
      <c r="F4" s="270" t="s">
        <v>9</v>
      </c>
      <c r="G4" s="270" t="s">
        <v>8</v>
      </c>
      <c r="H4" s="270" t="s">
        <v>40</v>
      </c>
      <c r="I4" s="270" t="s">
        <v>6</v>
      </c>
      <c r="J4" s="270" t="s">
        <v>5</v>
      </c>
      <c r="K4" s="270" t="s">
        <v>4</v>
      </c>
      <c r="L4" s="270" t="s">
        <v>183</v>
      </c>
      <c r="M4" s="270" t="s">
        <v>2</v>
      </c>
      <c r="N4" s="270" t="s">
        <v>484</v>
      </c>
      <c r="O4" s="270" t="s">
        <v>0</v>
      </c>
      <c r="P4" s="270" t="s">
        <v>487</v>
      </c>
      <c r="Q4" s="779" t="s">
        <v>495</v>
      </c>
      <c r="T4" s="270">
        <v>11000000</v>
      </c>
      <c r="U4" s="270" t="s">
        <v>508</v>
      </c>
      <c r="V4" s="782" t="s">
        <v>495</v>
      </c>
    </row>
    <row r="5" spans="4:22" ht="27.75" customHeight="1" thickBot="1">
      <c r="D5" s="272">
        <v>1</v>
      </c>
      <c r="E5" s="272">
        <v>1</v>
      </c>
      <c r="F5" s="272">
        <v>1</v>
      </c>
      <c r="G5" s="272">
        <v>1</v>
      </c>
      <c r="H5" s="272">
        <v>1</v>
      </c>
      <c r="I5" s="272">
        <v>1</v>
      </c>
      <c r="J5" s="272">
        <v>1</v>
      </c>
      <c r="K5" s="272">
        <v>1</v>
      </c>
      <c r="L5" s="272">
        <v>1</v>
      </c>
      <c r="M5" s="272">
        <v>1</v>
      </c>
      <c r="N5" s="272">
        <v>1</v>
      </c>
      <c r="O5" s="272">
        <v>1</v>
      </c>
      <c r="P5" s="270" t="s">
        <v>496</v>
      </c>
      <c r="Q5" s="780"/>
      <c r="T5" s="272">
        <v>1.1399999999999999</v>
      </c>
      <c r="U5" s="270" t="s">
        <v>500</v>
      </c>
      <c r="V5" s="782"/>
    </row>
    <row r="6" spans="4:22" ht="31.5" customHeight="1" thickBot="1">
      <c r="D6" s="271">
        <f t="shared" ref="D6:N6" si="0">E6</f>
        <v>12539999.999999998</v>
      </c>
      <c r="E6" s="271">
        <f t="shared" si="0"/>
        <v>12539999.999999998</v>
      </c>
      <c r="F6" s="271">
        <f t="shared" si="0"/>
        <v>12539999.999999998</v>
      </c>
      <c r="G6" s="271">
        <f t="shared" si="0"/>
        <v>12539999.999999998</v>
      </c>
      <c r="H6" s="271">
        <f t="shared" si="0"/>
        <v>12539999.999999998</v>
      </c>
      <c r="I6" s="271">
        <f t="shared" si="0"/>
        <v>12539999.999999998</v>
      </c>
      <c r="J6" s="271">
        <f t="shared" si="0"/>
        <v>12539999.999999998</v>
      </c>
      <c r="K6" s="271">
        <f t="shared" si="0"/>
        <v>12539999.999999998</v>
      </c>
      <c r="L6" s="271">
        <f t="shared" si="0"/>
        <v>12539999.999999998</v>
      </c>
      <c r="M6" s="271">
        <f t="shared" si="0"/>
        <v>12539999.999999998</v>
      </c>
      <c r="N6" s="271">
        <f t="shared" si="0"/>
        <v>12539999.999999998</v>
      </c>
      <c r="O6" s="271">
        <f>T6</f>
        <v>12539999.999999998</v>
      </c>
      <c r="P6" s="270" t="s">
        <v>497</v>
      </c>
      <c r="Q6" s="780"/>
      <c r="T6" s="271">
        <f>T4*T5</f>
        <v>12539999.999999998</v>
      </c>
      <c r="U6" s="270" t="s">
        <v>510</v>
      </c>
      <c r="V6" s="782"/>
    </row>
    <row r="7" spans="4:22" ht="31.5" customHeight="1" thickBot="1">
      <c r="D7" s="271">
        <f>'مراکز هزینه پرسنل'!D7</f>
        <v>55</v>
      </c>
      <c r="E7" s="271">
        <f>'مراکز هزینه پرسنل'!E7</f>
        <v>55</v>
      </c>
      <c r="F7" s="271">
        <f>'مراکز هزینه پرسنل'!F7</f>
        <v>55</v>
      </c>
      <c r="G7" s="271">
        <f>'مراکز هزینه پرسنل'!G7</f>
        <v>55</v>
      </c>
      <c r="H7" s="271">
        <f>'مراکز هزینه پرسنل'!H7</f>
        <v>55</v>
      </c>
      <c r="I7" s="271">
        <f>'مراکز هزینه پرسنل'!I7</f>
        <v>55</v>
      </c>
      <c r="J7" s="271">
        <f>'مراکز هزینه پرسنل'!J7</f>
        <v>55</v>
      </c>
      <c r="K7" s="271">
        <f>'مراکز هزینه پرسنل'!K7</f>
        <v>30</v>
      </c>
      <c r="L7" s="271">
        <f>'مراکز هزینه پرسنل'!L7</f>
        <v>30</v>
      </c>
      <c r="M7" s="271">
        <f>'مراکز هزینه پرسنل'!M7</f>
        <v>30</v>
      </c>
      <c r="N7" s="271">
        <f>'مراکز هزینه پرسنل'!N7</f>
        <v>30</v>
      </c>
      <c r="O7" s="271">
        <f>'مراکز هزینه پرسنل'!O7</f>
        <v>30</v>
      </c>
      <c r="P7" s="270" t="s">
        <v>498</v>
      </c>
      <c r="Q7" s="780"/>
      <c r="T7" s="270">
        <f>'سایر مزایا '!L16</f>
        <v>356496.55</v>
      </c>
      <c r="U7" s="270" t="s">
        <v>502</v>
      </c>
      <c r="V7" s="782"/>
    </row>
    <row r="8" spans="4:22" ht="42.75" thickBot="1">
      <c r="D8" s="271">
        <f t="shared" ref="D8:N8" si="1">(D7*D6*D5)/30*D3</f>
        <v>666709999.99999988</v>
      </c>
      <c r="E8" s="271">
        <f t="shared" si="1"/>
        <v>689699999.99999988</v>
      </c>
      <c r="F8" s="271">
        <f t="shared" si="1"/>
        <v>689699999.99999988</v>
      </c>
      <c r="G8" s="271">
        <f t="shared" si="1"/>
        <v>689699999.99999988</v>
      </c>
      <c r="H8" s="271">
        <f t="shared" si="1"/>
        <v>689699999.99999988</v>
      </c>
      <c r="I8" s="271">
        <f t="shared" si="1"/>
        <v>689699999.99999988</v>
      </c>
      <c r="J8" s="271">
        <f t="shared" si="1"/>
        <v>712689999.99999988</v>
      </c>
      <c r="K8" s="271">
        <f t="shared" si="1"/>
        <v>388739999.99999994</v>
      </c>
      <c r="L8" s="271">
        <f t="shared" si="1"/>
        <v>388739999.99999994</v>
      </c>
      <c r="M8" s="271">
        <f t="shared" si="1"/>
        <v>388739999.99999994</v>
      </c>
      <c r="N8" s="271">
        <f t="shared" si="1"/>
        <v>388739999.99999994</v>
      </c>
      <c r="O8" s="271">
        <f>(O7*O6*O5)/30*O3</f>
        <v>388739999.99999994</v>
      </c>
      <c r="P8" s="270" t="s">
        <v>499</v>
      </c>
      <c r="Q8" s="781"/>
      <c r="T8" s="271">
        <f>'سایر مزایا '!L13</f>
        <v>32084689.5</v>
      </c>
      <c r="U8" s="274" t="s">
        <v>503</v>
      </c>
      <c r="V8" s="782"/>
    </row>
    <row r="9" spans="4:22" ht="21.75" thickBot="1"/>
    <row r="10" spans="4:22" ht="21.75" thickBot="1">
      <c r="D10" s="270" t="s">
        <v>11</v>
      </c>
      <c r="E10" s="270" t="s">
        <v>10</v>
      </c>
      <c r="F10" s="270" t="s">
        <v>9</v>
      </c>
      <c r="G10" s="270" t="s">
        <v>8</v>
      </c>
      <c r="H10" s="270" t="s">
        <v>40</v>
      </c>
      <c r="I10" s="270" t="s">
        <v>6</v>
      </c>
      <c r="J10" s="270" t="s">
        <v>5</v>
      </c>
      <c r="K10" s="270" t="s">
        <v>4</v>
      </c>
      <c r="L10" s="270" t="s">
        <v>183</v>
      </c>
      <c r="M10" s="270" t="s">
        <v>2</v>
      </c>
      <c r="N10" s="270" t="s">
        <v>484</v>
      </c>
      <c r="O10" s="270" t="s">
        <v>0</v>
      </c>
      <c r="P10" s="270" t="s">
        <v>487</v>
      </c>
      <c r="Q10" s="783" t="s">
        <v>504</v>
      </c>
      <c r="T10" s="270">
        <v>12000000</v>
      </c>
      <c r="U10" s="270" t="s">
        <v>508</v>
      </c>
      <c r="V10" s="782" t="s">
        <v>504</v>
      </c>
    </row>
    <row r="11" spans="4:22" ht="21.75" thickBot="1">
      <c r="D11" s="272">
        <v>1</v>
      </c>
      <c r="E11" s="272">
        <v>1</v>
      </c>
      <c r="F11" s="272">
        <v>1</v>
      </c>
      <c r="G11" s="272">
        <v>1</v>
      </c>
      <c r="H11" s="272">
        <v>1</v>
      </c>
      <c r="I11" s="272">
        <v>1</v>
      </c>
      <c r="J11" s="272">
        <v>1</v>
      </c>
      <c r="K11" s="272">
        <v>1</v>
      </c>
      <c r="L11" s="272">
        <v>1</v>
      </c>
      <c r="M11" s="272">
        <v>1</v>
      </c>
      <c r="N11" s="272">
        <v>1</v>
      </c>
      <c r="O11" s="272">
        <v>1</v>
      </c>
      <c r="P11" s="270" t="s">
        <v>496</v>
      </c>
      <c r="Q11" s="784"/>
      <c r="T11" s="272">
        <v>1.1399999999999999</v>
      </c>
      <c r="U11" s="270" t="s">
        <v>500</v>
      </c>
      <c r="V11" s="782"/>
    </row>
    <row r="12" spans="4:22" ht="21.75" thickBot="1">
      <c r="D12" s="271">
        <f t="shared" ref="D12:N12" si="2">E12</f>
        <v>13679999.999999998</v>
      </c>
      <c r="E12" s="271">
        <f t="shared" si="2"/>
        <v>13679999.999999998</v>
      </c>
      <c r="F12" s="271">
        <f t="shared" si="2"/>
        <v>13679999.999999998</v>
      </c>
      <c r="G12" s="271">
        <f t="shared" si="2"/>
        <v>13679999.999999998</v>
      </c>
      <c r="H12" s="271">
        <f t="shared" si="2"/>
        <v>13679999.999999998</v>
      </c>
      <c r="I12" s="271">
        <f t="shared" si="2"/>
        <v>13679999.999999998</v>
      </c>
      <c r="J12" s="271">
        <f t="shared" si="2"/>
        <v>13679999.999999998</v>
      </c>
      <c r="K12" s="271">
        <f t="shared" si="2"/>
        <v>13679999.999999998</v>
      </c>
      <c r="L12" s="271">
        <f t="shared" si="2"/>
        <v>13679999.999999998</v>
      </c>
      <c r="M12" s="271">
        <f t="shared" si="2"/>
        <v>13679999.999999998</v>
      </c>
      <c r="N12" s="271">
        <f t="shared" si="2"/>
        <v>13679999.999999998</v>
      </c>
      <c r="O12" s="271">
        <f>T12</f>
        <v>13679999.999999998</v>
      </c>
      <c r="P12" s="270" t="s">
        <v>497</v>
      </c>
      <c r="Q12" s="784"/>
      <c r="T12" s="271">
        <f>T10*T11</f>
        <v>13679999.999999998</v>
      </c>
      <c r="U12" s="270" t="s">
        <v>510</v>
      </c>
      <c r="V12" s="782"/>
    </row>
    <row r="13" spans="4:22" ht="21.75" thickBot="1">
      <c r="D13" s="271">
        <f>'مراکز هزینه پرسنل'!D13</f>
        <v>25</v>
      </c>
      <c r="E13" s="271">
        <f>'مراکز هزینه پرسنل'!E13</f>
        <v>25</v>
      </c>
      <c r="F13" s="271">
        <f>'مراکز هزینه پرسنل'!F13</f>
        <v>25</v>
      </c>
      <c r="G13" s="271">
        <f>'مراکز هزینه پرسنل'!G13</f>
        <v>25</v>
      </c>
      <c r="H13" s="271">
        <f>'مراکز هزینه پرسنل'!H13</f>
        <v>25</v>
      </c>
      <c r="I13" s="271">
        <f>'مراکز هزینه پرسنل'!I13</f>
        <v>25</v>
      </c>
      <c r="J13" s="271">
        <f>'مراکز هزینه پرسنل'!J13</f>
        <v>25</v>
      </c>
      <c r="K13" s="271">
        <f>'مراکز هزینه پرسنل'!K13</f>
        <v>19</v>
      </c>
      <c r="L13" s="271">
        <f>'مراکز هزینه پرسنل'!L13</f>
        <v>19</v>
      </c>
      <c r="M13" s="271">
        <f>'مراکز هزینه پرسنل'!M13</f>
        <v>19</v>
      </c>
      <c r="N13" s="271">
        <f>'مراکز هزینه پرسنل'!N13</f>
        <v>19</v>
      </c>
      <c r="O13" s="271">
        <f>'مراکز هزینه پرسنل'!O13</f>
        <v>19</v>
      </c>
      <c r="P13" s="270" t="s">
        <v>498</v>
      </c>
      <c r="Q13" s="784"/>
      <c r="T13" s="270">
        <f>'سایر مزایا '!L16</f>
        <v>356496.55</v>
      </c>
      <c r="U13" s="270" t="s">
        <v>502</v>
      </c>
      <c r="V13" s="782"/>
    </row>
    <row r="14" spans="4:22" ht="42.75" thickBot="1">
      <c r="D14" s="271">
        <f t="shared" ref="D14:N14" si="3">(D13*D12*D11)/30*D3</f>
        <v>330599999.99999994</v>
      </c>
      <c r="E14" s="271">
        <f t="shared" si="3"/>
        <v>341999999.99999994</v>
      </c>
      <c r="F14" s="271">
        <f t="shared" si="3"/>
        <v>341999999.99999994</v>
      </c>
      <c r="G14" s="271">
        <f t="shared" si="3"/>
        <v>341999999.99999994</v>
      </c>
      <c r="H14" s="271">
        <f t="shared" si="3"/>
        <v>341999999.99999994</v>
      </c>
      <c r="I14" s="271">
        <f t="shared" si="3"/>
        <v>341999999.99999994</v>
      </c>
      <c r="J14" s="271">
        <f t="shared" si="3"/>
        <v>353399999.99999994</v>
      </c>
      <c r="K14" s="271">
        <f t="shared" si="3"/>
        <v>268583999.99999994</v>
      </c>
      <c r="L14" s="271">
        <f t="shared" si="3"/>
        <v>268583999.99999994</v>
      </c>
      <c r="M14" s="271">
        <f t="shared" si="3"/>
        <v>268583999.99999994</v>
      </c>
      <c r="N14" s="271">
        <f t="shared" si="3"/>
        <v>268583999.99999994</v>
      </c>
      <c r="O14" s="271">
        <f>(O13*O12*O11)/30*O3</f>
        <v>268583999.99999994</v>
      </c>
      <c r="P14" s="270" t="s">
        <v>499</v>
      </c>
      <c r="Q14" s="785"/>
      <c r="T14" s="270">
        <f>'سایر مزایا '!L13</f>
        <v>32084689.5</v>
      </c>
      <c r="U14" s="274" t="s">
        <v>503</v>
      </c>
      <c r="V14" s="782"/>
    </row>
    <row r="15" spans="4:22" ht="21.75" thickBot="1"/>
    <row r="16" spans="4:22" ht="21.75" customHeight="1" thickBot="1">
      <c r="D16" s="270" t="s">
        <v>11</v>
      </c>
      <c r="E16" s="270" t="s">
        <v>10</v>
      </c>
      <c r="F16" s="270" t="s">
        <v>9</v>
      </c>
      <c r="G16" s="270" t="s">
        <v>8</v>
      </c>
      <c r="H16" s="270" t="s">
        <v>40</v>
      </c>
      <c r="I16" s="270" t="s">
        <v>6</v>
      </c>
      <c r="J16" s="270" t="s">
        <v>5</v>
      </c>
      <c r="K16" s="270" t="s">
        <v>4</v>
      </c>
      <c r="L16" s="270" t="s">
        <v>183</v>
      </c>
      <c r="M16" s="270" t="s">
        <v>2</v>
      </c>
      <c r="N16" s="270" t="s">
        <v>484</v>
      </c>
      <c r="O16" s="270" t="s">
        <v>0</v>
      </c>
      <c r="P16" s="270" t="s">
        <v>487</v>
      </c>
      <c r="Q16" s="783" t="s">
        <v>505</v>
      </c>
      <c r="T16" s="270">
        <v>20000000</v>
      </c>
      <c r="U16" s="270" t="s">
        <v>508</v>
      </c>
      <c r="V16" s="782" t="s">
        <v>505</v>
      </c>
    </row>
    <row r="17" spans="4:22" ht="21.75" thickBot="1">
      <c r="D17" s="272">
        <v>1</v>
      </c>
      <c r="E17" s="272">
        <v>1</v>
      </c>
      <c r="F17" s="272">
        <v>1</v>
      </c>
      <c r="G17" s="272">
        <v>1</v>
      </c>
      <c r="H17" s="272">
        <v>1</v>
      </c>
      <c r="I17" s="272">
        <v>1</v>
      </c>
      <c r="J17" s="272">
        <v>1</v>
      </c>
      <c r="K17" s="272">
        <v>1</v>
      </c>
      <c r="L17" s="272">
        <v>1</v>
      </c>
      <c r="M17" s="272">
        <v>1</v>
      </c>
      <c r="N17" s="272">
        <v>1</v>
      </c>
      <c r="O17" s="272">
        <v>1</v>
      </c>
      <c r="P17" s="270" t="s">
        <v>496</v>
      </c>
      <c r="Q17" s="784"/>
      <c r="T17" s="272">
        <v>1.1200000000000001</v>
      </c>
      <c r="U17" s="270" t="s">
        <v>500</v>
      </c>
      <c r="V17" s="782"/>
    </row>
    <row r="18" spans="4:22" ht="21.75" thickBot="1">
      <c r="D18" s="271">
        <f t="shared" ref="D18:N18" si="4">E18</f>
        <v>22400000.000000004</v>
      </c>
      <c r="E18" s="271">
        <f t="shared" si="4"/>
        <v>22400000.000000004</v>
      </c>
      <c r="F18" s="271">
        <f t="shared" si="4"/>
        <v>22400000.000000004</v>
      </c>
      <c r="G18" s="271">
        <f t="shared" si="4"/>
        <v>22400000.000000004</v>
      </c>
      <c r="H18" s="271">
        <f t="shared" si="4"/>
        <v>22400000.000000004</v>
      </c>
      <c r="I18" s="271">
        <f t="shared" si="4"/>
        <v>22400000.000000004</v>
      </c>
      <c r="J18" s="271">
        <f t="shared" si="4"/>
        <v>22400000.000000004</v>
      </c>
      <c r="K18" s="271">
        <f t="shared" si="4"/>
        <v>22400000.000000004</v>
      </c>
      <c r="L18" s="271">
        <f t="shared" si="4"/>
        <v>22400000.000000004</v>
      </c>
      <c r="M18" s="271">
        <f t="shared" si="4"/>
        <v>22400000.000000004</v>
      </c>
      <c r="N18" s="271">
        <f t="shared" si="4"/>
        <v>22400000.000000004</v>
      </c>
      <c r="O18" s="271">
        <f>T18</f>
        <v>22400000.000000004</v>
      </c>
      <c r="P18" s="270" t="s">
        <v>497</v>
      </c>
      <c r="Q18" s="784"/>
      <c r="T18" s="271">
        <f>T16*T17</f>
        <v>22400000.000000004</v>
      </c>
      <c r="U18" s="270" t="s">
        <v>510</v>
      </c>
      <c r="V18" s="782"/>
    </row>
    <row r="19" spans="4:22" ht="21.75" thickBot="1">
      <c r="D19" s="271">
        <f>'مراکز هزینه پرسنل'!D19</f>
        <v>20</v>
      </c>
      <c r="E19" s="271">
        <f>'مراکز هزینه پرسنل'!E19</f>
        <v>20</v>
      </c>
      <c r="F19" s="271">
        <f>'مراکز هزینه پرسنل'!F19</f>
        <v>20</v>
      </c>
      <c r="G19" s="271">
        <f>'مراکز هزینه پرسنل'!G19</f>
        <v>20</v>
      </c>
      <c r="H19" s="271">
        <f>'مراکز هزینه پرسنل'!H19</f>
        <v>20</v>
      </c>
      <c r="I19" s="271">
        <f>'مراکز هزینه پرسنل'!I19</f>
        <v>20</v>
      </c>
      <c r="J19" s="271">
        <f>'مراکز هزینه پرسنل'!J19</f>
        <v>20</v>
      </c>
      <c r="K19" s="271">
        <f>'مراکز هزینه پرسنل'!K19</f>
        <v>20</v>
      </c>
      <c r="L19" s="271">
        <f>'مراکز هزینه پرسنل'!L19</f>
        <v>20</v>
      </c>
      <c r="M19" s="271">
        <f>'مراکز هزینه پرسنل'!M19</f>
        <v>20</v>
      </c>
      <c r="N19" s="271">
        <f>'مراکز هزینه پرسنل'!N19</f>
        <v>20</v>
      </c>
      <c r="O19" s="271">
        <f>'مراکز هزینه پرسنل'!O19</f>
        <v>20</v>
      </c>
      <c r="P19" s="270" t="s">
        <v>498</v>
      </c>
      <c r="Q19" s="784"/>
      <c r="T19" s="270">
        <f>'سایر مزایا '!L16</f>
        <v>356496.55</v>
      </c>
      <c r="U19" s="270" t="s">
        <v>502</v>
      </c>
      <c r="V19" s="782"/>
    </row>
    <row r="20" spans="4:22" ht="42.75" thickBot="1">
      <c r="D20" s="271">
        <f t="shared" ref="D20:N20" si="5">(D19*D18*D17)/30*D3</f>
        <v>433066666.66666675</v>
      </c>
      <c r="E20" s="271">
        <f t="shared" si="5"/>
        <v>448000000.00000006</v>
      </c>
      <c r="F20" s="271">
        <f t="shared" si="5"/>
        <v>448000000.00000006</v>
      </c>
      <c r="G20" s="271">
        <f t="shared" si="5"/>
        <v>448000000.00000006</v>
      </c>
      <c r="H20" s="271">
        <f t="shared" si="5"/>
        <v>448000000.00000006</v>
      </c>
      <c r="I20" s="271">
        <f t="shared" si="5"/>
        <v>448000000.00000006</v>
      </c>
      <c r="J20" s="271">
        <f t="shared" si="5"/>
        <v>462933333.33333343</v>
      </c>
      <c r="K20" s="271">
        <f t="shared" si="5"/>
        <v>462933333.33333343</v>
      </c>
      <c r="L20" s="271">
        <f t="shared" si="5"/>
        <v>462933333.33333343</v>
      </c>
      <c r="M20" s="271">
        <f t="shared" si="5"/>
        <v>462933333.33333343</v>
      </c>
      <c r="N20" s="271">
        <f t="shared" si="5"/>
        <v>462933333.33333343</v>
      </c>
      <c r="O20" s="271">
        <f>(O19*O18*O17)/30*O3</f>
        <v>462933333.33333343</v>
      </c>
      <c r="P20" s="270" t="s">
        <v>499</v>
      </c>
      <c r="Q20" s="785"/>
      <c r="T20" s="270">
        <f>'سایر مزایا '!L13</f>
        <v>32084689.5</v>
      </c>
      <c r="U20" s="274" t="s">
        <v>503</v>
      </c>
      <c r="V20" s="782"/>
    </row>
    <row r="21" spans="4:22" ht="21.75" thickBot="1"/>
    <row r="22" spans="4:22" ht="21.75" thickBot="1">
      <c r="D22" s="270" t="s">
        <v>11</v>
      </c>
      <c r="E22" s="270" t="s">
        <v>10</v>
      </c>
      <c r="F22" s="270" t="s">
        <v>9</v>
      </c>
      <c r="G22" s="270" t="s">
        <v>8</v>
      </c>
      <c r="H22" s="270" t="s">
        <v>40</v>
      </c>
      <c r="I22" s="270" t="s">
        <v>6</v>
      </c>
      <c r="J22" s="270" t="s">
        <v>5</v>
      </c>
      <c r="K22" s="270" t="s">
        <v>4</v>
      </c>
      <c r="L22" s="270" t="s">
        <v>183</v>
      </c>
      <c r="M22" s="270" t="s">
        <v>2</v>
      </c>
      <c r="N22" s="270" t="s">
        <v>484</v>
      </c>
      <c r="O22" s="270" t="s">
        <v>0</v>
      </c>
      <c r="P22" s="270" t="s">
        <v>487</v>
      </c>
      <c r="Q22" s="783" t="s">
        <v>506</v>
      </c>
      <c r="T22" s="270">
        <v>13500000</v>
      </c>
      <c r="U22" s="270" t="s">
        <v>508</v>
      </c>
      <c r="V22" s="782" t="s">
        <v>506</v>
      </c>
    </row>
    <row r="23" spans="4:22" ht="21.75" thickBot="1">
      <c r="D23" s="272">
        <v>1</v>
      </c>
      <c r="E23" s="272">
        <v>1</v>
      </c>
      <c r="F23" s="272">
        <v>1</v>
      </c>
      <c r="G23" s="272">
        <v>1</v>
      </c>
      <c r="H23" s="272">
        <v>1</v>
      </c>
      <c r="I23" s="272">
        <v>1</v>
      </c>
      <c r="J23" s="272">
        <v>1</v>
      </c>
      <c r="K23" s="272">
        <v>1</v>
      </c>
      <c r="L23" s="272">
        <v>1</v>
      </c>
      <c r="M23" s="272">
        <v>1</v>
      </c>
      <c r="N23" s="272">
        <v>1</v>
      </c>
      <c r="O23" s="272">
        <v>1</v>
      </c>
      <c r="P23" s="270" t="s">
        <v>496</v>
      </c>
      <c r="Q23" s="784"/>
      <c r="T23" s="272">
        <v>1.1399999999999999</v>
      </c>
      <c r="U23" s="270" t="s">
        <v>500</v>
      </c>
      <c r="V23" s="782"/>
    </row>
    <row r="24" spans="4:22" ht="21.75" thickBot="1">
      <c r="D24" s="271">
        <f t="shared" ref="D24:N24" si="6">E24</f>
        <v>15389999.999999998</v>
      </c>
      <c r="E24" s="271">
        <f t="shared" si="6"/>
        <v>15389999.999999998</v>
      </c>
      <c r="F24" s="271">
        <f t="shared" si="6"/>
        <v>15389999.999999998</v>
      </c>
      <c r="G24" s="271">
        <f t="shared" si="6"/>
        <v>15389999.999999998</v>
      </c>
      <c r="H24" s="271">
        <f t="shared" si="6"/>
        <v>15389999.999999998</v>
      </c>
      <c r="I24" s="271">
        <f t="shared" si="6"/>
        <v>15389999.999999998</v>
      </c>
      <c r="J24" s="271">
        <f t="shared" si="6"/>
        <v>15389999.999999998</v>
      </c>
      <c r="K24" s="271">
        <f t="shared" si="6"/>
        <v>15389999.999999998</v>
      </c>
      <c r="L24" s="271">
        <f t="shared" si="6"/>
        <v>15389999.999999998</v>
      </c>
      <c r="M24" s="271">
        <f t="shared" si="6"/>
        <v>15389999.999999998</v>
      </c>
      <c r="N24" s="271">
        <f t="shared" si="6"/>
        <v>15389999.999999998</v>
      </c>
      <c r="O24" s="271">
        <f>T24</f>
        <v>15389999.999999998</v>
      </c>
      <c r="P24" s="270" t="s">
        <v>497</v>
      </c>
      <c r="Q24" s="784"/>
      <c r="T24" s="271">
        <f>T22*T23</f>
        <v>15389999.999999998</v>
      </c>
      <c r="U24" s="270" t="s">
        <v>510</v>
      </c>
      <c r="V24" s="782"/>
    </row>
    <row r="25" spans="4:22" ht="21.75" thickBot="1">
      <c r="D25" s="271">
        <f>'مراکز هزینه پرسنل'!D25</f>
        <v>24</v>
      </c>
      <c r="E25" s="271">
        <f>'مراکز هزینه پرسنل'!E25</f>
        <v>24</v>
      </c>
      <c r="F25" s="271">
        <f>'مراکز هزینه پرسنل'!F25</f>
        <v>24</v>
      </c>
      <c r="G25" s="271">
        <f>'مراکز هزینه پرسنل'!G25</f>
        <v>24</v>
      </c>
      <c r="H25" s="271">
        <f>'مراکز هزینه پرسنل'!H25</f>
        <v>24</v>
      </c>
      <c r="I25" s="271">
        <f>'مراکز هزینه پرسنل'!I25</f>
        <v>24</v>
      </c>
      <c r="J25" s="271">
        <f>'مراکز هزینه پرسنل'!J25</f>
        <v>24</v>
      </c>
      <c r="K25" s="271">
        <f>'مراکز هزینه پرسنل'!K25</f>
        <v>16</v>
      </c>
      <c r="L25" s="271">
        <f>'مراکز هزینه پرسنل'!L25</f>
        <v>16</v>
      </c>
      <c r="M25" s="271">
        <f>'مراکز هزینه پرسنل'!M25</f>
        <v>16</v>
      </c>
      <c r="N25" s="271">
        <f>'مراکز هزینه پرسنل'!N25</f>
        <v>16</v>
      </c>
      <c r="O25" s="271">
        <f>'مراکز هزینه پرسنل'!O25</f>
        <v>16</v>
      </c>
      <c r="P25" s="270" t="s">
        <v>498</v>
      </c>
      <c r="Q25" s="784"/>
      <c r="T25" s="270">
        <f>'سایر مزایا '!L16</f>
        <v>356496.55</v>
      </c>
      <c r="U25" s="270" t="s">
        <v>502</v>
      </c>
      <c r="V25" s="782"/>
    </row>
    <row r="26" spans="4:22" ht="42.75" thickBot="1">
      <c r="D26" s="271">
        <f t="shared" ref="D26:N26" si="7">(D25*D24*D23)/30*D3</f>
        <v>357047999.99999994</v>
      </c>
      <c r="E26" s="271">
        <f t="shared" si="7"/>
        <v>369359999.99999994</v>
      </c>
      <c r="F26" s="271">
        <f t="shared" si="7"/>
        <v>369359999.99999994</v>
      </c>
      <c r="G26" s="271">
        <f t="shared" si="7"/>
        <v>369359999.99999994</v>
      </c>
      <c r="H26" s="271">
        <f t="shared" si="7"/>
        <v>369359999.99999994</v>
      </c>
      <c r="I26" s="271">
        <f t="shared" si="7"/>
        <v>369359999.99999994</v>
      </c>
      <c r="J26" s="271">
        <f t="shared" si="7"/>
        <v>381671999.99999994</v>
      </c>
      <c r="K26" s="271">
        <f t="shared" si="7"/>
        <v>254447999.99999997</v>
      </c>
      <c r="L26" s="271">
        <f t="shared" si="7"/>
        <v>254447999.99999997</v>
      </c>
      <c r="M26" s="271">
        <f t="shared" si="7"/>
        <v>254447999.99999997</v>
      </c>
      <c r="N26" s="271">
        <f t="shared" si="7"/>
        <v>254447999.99999997</v>
      </c>
      <c r="O26" s="271">
        <f>(O25*O24*O23)/30*O3</f>
        <v>254447999.99999997</v>
      </c>
      <c r="P26" s="270" t="s">
        <v>499</v>
      </c>
      <c r="Q26" s="785"/>
      <c r="T26" s="270">
        <f>'سایر مزایا '!L13</f>
        <v>32084689.5</v>
      </c>
      <c r="U26" s="274" t="s">
        <v>503</v>
      </c>
      <c r="V26" s="782"/>
    </row>
    <row r="27" spans="4:22" ht="21.75" thickBot="1">
      <c r="Q27" s="275"/>
    </row>
    <row r="28" spans="4:22" ht="21.75" thickBot="1">
      <c r="D28" s="270" t="s">
        <v>11</v>
      </c>
      <c r="E28" s="270" t="s">
        <v>10</v>
      </c>
      <c r="F28" s="270" t="s">
        <v>9</v>
      </c>
      <c r="G28" s="270" t="s">
        <v>8</v>
      </c>
      <c r="H28" s="270" t="s">
        <v>40</v>
      </c>
      <c r="I28" s="270" t="s">
        <v>6</v>
      </c>
      <c r="J28" s="270" t="s">
        <v>5</v>
      </c>
      <c r="K28" s="270" t="s">
        <v>4</v>
      </c>
      <c r="L28" s="270" t="s">
        <v>183</v>
      </c>
      <c r="M28" s="270" t="s">
        <v>2</v>
      </c>
      <c r="N28" s="270" t="s">
        <v>484</v>
      </c>
      <c r="O28" s="270" t="s">
        <v>0</v>
      </c>
      <c r="P28" s="270" t="s">
        <v>487</v>
      </c>
      <c r="Q28" s="783" t="s">
        <v>507</v>
      </c>
      <c r="T28" s="270">
        <v>25000000</v>
      </c>
      <c r="U28" s="270" t="s">
        <v>508</v>
      </c>
      <c r="V28" s="782" t="s">
        <v>509</v>
      </c>
    </row>
    <row r="29" spans="4:22" ht="21.75" thickBot="1">
      <c r="D29" s="272">
        <v>1</v>
      </c>
      <c r="E29" s="272">
        <v>1</v>
      </c>
      <c r="F29" s="272">
        <v>1</v>
      </c>
      <c r="G29" s="272">
        <v>1</v>
      </c>
      <c r="H29" s="272">
        <v>1</v>
      </c>
      <c r="I29" s="272">
        <v>1</v>
      </c>
      <c r="J29" s="272">
        <v>1</v>
      </c>
      <c r="K29" s="272">
        <v>1</v>
      </c>
      <c r="L29" s="272">
        <v>1</v>
      </c>
      <c r="M29" s="272">
        <v>1</v>
      </c>
      <c r="N29" s="272">
        <v>1</v>
      </c>
      <c r="O29" s="272">
        <v>1</v>
      </c>
      <c r="P29" s="270" t="s">
        <v>496</v>
      </c>
      <c r="Q29" s="784"/>
      <c r="T29" s="272">
        <v>1.1399999999999999</v>
      </c>
      <c r="U29" s="270" t="s">
        <v>500</v>
      </c>
      <c r="V29" s="782"/>
    </row>
    <row r="30" spans="4:22" ht="21.75" thickBot="1">
      <c r="D30" s="271">
        <f t="shared" ref="D30:N30" si="8">E30</f>
        <v>28499999.999999996</v>
      </c>
      <c r="E30" s="271">
        <f t="shared" si="8"/>
        <v>28499999.999999996</v>
      </c>
      <c r="F30" s="271">
        <f t="shared" si="8"/>
        <v>28499999.999999996</v>
      </c>
      <c r="G30" s="271">
        <f t="shared" si="8"/>
        <v>28499999.999999996</v>
      </c>
      <c r="H30" s="271">
        <f t="shared" si="8"/>
        <v>28499999.999999996</v>
      </c>
      <c r="I30" s="271">
        <f t="shared" si="8"/>
        <v>28499999.999999996</v>
      </c>
      <c r="J30" s="271">
        <f t="shared" si="8"/>
        <v>28499999.999999996</v>
      </c>
      <c r="K30" s="271">
        <f t="shared" si="8"/>
        <v>28499999.999999996</v>
      </c>
      <c r="L30" s="271">
        <f t="shared" si="8"/>
        <v>28499999.999999996</v>
      </c>
      <c r="M30" s="271">
        <f t="shared" si="8"/>
        <v>28499999.999999996</v>
      </c>
      <c r="N30" s="271">
        <f t="shared" si="8"/>
        <v>28499999.999999996</v>
      </c>
      <c r="O30" s="271">
        <f>T30</f>
        <v>28499999.999999996</v>
      </c>
      <c r="P30" s="270" t="s">
        <v>497</v>
      </c>
      <c r="Q30" s="784"/>
      <c r="T30" s="271">
        <f>T28*T29</f>
        <v>28499999.999999996</v>
      </c>
      <c r="U30" s="270" t="s">
        <v>510</v>
      </c>
      <c r="V30" s="782"/>
    </row>
    <row r="31" spans="4:22" ht="21.75" thickBot="1">
      <c r="D31" s="271">
        <f>'مراکز هزینه پرسنل'!D31</f>
        <v>3</v>
      </c>
      <c r="E31" s="271">
        <f>'مراکز هزینه پرسنل'!E31</f>
        <v>3</v>
      </c>
      <c r="F31" s="271">
        <f>'مراکز هزینه پرسنل'!F31</f>
        <v>3</v>
      </c>
      <c r="G31" s="271">
        <f>'مراکز هزینه پرسنل'!G31</f>
        <v>3</v>
      </c>
      <c r="H31" s="271">
        <f>'مراکز هزینه پرسنل'!H31</f>
        <v>3</v>
      </c>
      <c r="I31" s="271">
        <f>'مراکز هزینه پرسنل'!I31</f>
        <v>3</v>
      </c>
      <c r="J31" s="271">
        <f>'مراکز هزینه پرسنل'!J31</f>
        <v>5</v>
      </c>
      <c r="K31" s="271">
        <f>'مراکز هزینه پرسنل'!K31</f>
        <v>5</v>
      </c>
      <c r="L31" s="271">
        <f>'مراکز هزینه پرسنل'!L31</f>
        <v>5</v>
      </c>
      <c r="M31" s="271">
        <f>'مراکز هزینه پرسنل'!M31</f>
        <v>5</v>
      </c>
      <c r="N31" s="271">
        <f>'مراکز هزینه پرسنل'!N31</f>
        <v>5</v>
      </c>
      <c r="O31" s="271">
        <f>'مراکز هزینه پرسنل'!O31</f>
        <v>5</v>
      </c>
      <c r="P31" s="270" t="s">
        <v>498</v>
      </c>
      <c r="Q31" s="784"/>
      <c r="T31" s="270">
        <f>'سایر مزایا '!L16</f>
        <v>356496.55</v>
      </c>
      <c r="U31" s="270" t="s">
        <v>502</v>
      </c>
      <c r="V31" s="782"/>
    </row>
    <row r="32" spans="4:22" ht="42.75" thickBot="1">
      <c r="D32" s="271">
        <f t="shared" ref="D32:N32" si="9">(D31*D30*D29)/30*D3</f>
        <v>82649999.999999985</v>
      </c>
      <c r="E32" s="271">
        <f t="shared" si="9"/>
        <v>85499999.999999985</v>
      </c>
      <c r="F32" s="271">
        <f t="shared" si="9"/>
        <v>85499999.999999985</v>
      </c>
      <c r="G32" s="271">
        <f t="shared" si="9"/>
        <v>85499999.999999985</v>
      </c>
      <c r="H32" s="271">
        <f t="shared" si="9"/>
        <v>85499999.999999985</v>
      </c>
      <c r="I32" s="271">
        <f t="shared" si="9"/>
        <v>85499999.999999985</v>
      </c>
      <c r="J32" s="271">
        <f t="shared" si="9"/>
        <v>147249999.99999997</v>
      </c>
      <c r="K32" s="271">
        <f t="shared" si="9"/>
        <v>147249999.99999997</v>
      </c>
      <c r="L32" s="271">
        <f t="shared" si="9"/>
        <v>147249999.99999997</v>
      </c>
      <c r="M32" s="271">
        <f t="shared" si="9"/>
        <v>147249999.99999997</v>
      </c>
      <c r="N32" s="271">
        <f t="shared" si="9"/>
        <v>147249999.99999997</v>
      </c>
      <c r="O32" s="271">
        <f>(O31*O30*O29)/30*O3</f>
        <v>147249999.99999997</v>
      </c>
      <c r="P32" s="270" t="s">
        <v>499</v>
      </c>
      <c r="Q32" s="785"/>
      <c r="T32" s="270">
        <f>'سایر مزایا '!L13</f>
        <v>32084689.5</v>
      </c>
      <c r="U32" s="274" t="s">
        <v>503</v>
      </c>
      <c r="V32" s="782"/>
    </row>
  </sheetData>
  <mergeCells count="12">
    <mergeCell ref="Q22:Q26"/>
    <mergeCell ref="Q28:Q32"/>
    <mergeCell ref="V10:V14"/>
    <mergeCell ref="V16:V20"/>
    <mergeCell ref="V22:V26"/>
    <mergeCell ref="V28:V32"/>
    <mergeCell ref="D2:O2"/>
    <mergeCell ref="Q4:Q8"/>
    <mergeCell ref="V4:V8"/>
    <mergeCell ref="Q10:Q14"/>
    <mergeCell ref="Q16:Q20"/>
    <mergeCell ref="T2:V2"/>
  </mergeCells>
  <hyperlinks>
    <hyperlink ref="T2:V2" r:id="rId1" location="'فهرست مطالب'!A1" display="محاسبه پایه حقوقی"/>
  </hyperlink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>
  <sheetPr>
    <tabColor rgb="FFFF0000"/>
  </sheetPr>
  <dimension ref="A1:R54"/>
  <sheetViews>
    <sheetView topLeftCell="D37" workbookViewId="0">
      <selection activeCell="H56" sqref="H56"/>
    </sheetView>
  </sheetViews>
  <sheetFormatPr defaultColWidth="9" defaultRowHeight="21"/>
  <cols>
    <col min="1" max="1" width="6" style="269" bestFit="1" customWidth="1"/>
    <col min="2" max="13" width="17" style="269" bestFit="1" customWidth="1"/>
    <col min="14" max="14" width="27.5703125" style="269" bestFit="1" customWidth="1"/>
    <col min="15" max="15" width="9" style="269"/>
    <col min="16" max="16" width="14.140625" style="269" bestFit="1" customWidth="1"/>
    <col min="17" max="17" width="9" style="269"/>
    <col min="18" max="18" width="4.28515625" style="269" customWidth="1"/>
    <col min="19" max="16384" width="9" style="269"/>
  </cols>
  <sheetData>
    <row r="1" spans="1:18">
      <c r="A1" s="306"/>
      <c r="B1" s="306"/>
      <c r="C1" s="306"/>
      <c r="D1" s="306"/>
      <c r="E1" s="306"/>
      <c r="F1" s="306"/>
      <c r="G1" s="306"/>
      <c r="H1" s="306"/>
      <c r="I1" s="306"/>
      <c r="J1" s="306"/>
      <c r="K1" s="306"/>
      <c r="L1" s="306"/>
      <c r="M1" s="306"/>
      <c r="N1" s="306"/>
      <c r="O1" s="306"/>
      <c r="P1" s="306"/>
      <c r="Q1" s="306"/>
      <c r="R1" s="306"/>
    </row>
    <row r="2" spans="1:18" ht="29.25" thickBot="1">
      <c r="N2" s="325" t="s">
        <v>574</v>
      </c>
      <c r="R2" s="306"/>
    </row>
    <row r="3" spans="1:18" ht="21.75" thickBot="1">
      <c r="B3" s="776" t="s">
        <v>521</v>
      </c>
      <c r="C3" s="777"/>
      <c r="D3" s="777"/>
      <c r="E3" s="777"/>
      <c r="F3" s="777"/>
      <c r="G3" s="777"/>
      <c r="H3" s="777"/>
      <c r="I3" s="777"/>
      <c r="J3" s="777"/>
      <c r="K3" s="777"/>
      <c r="L3" s="777"/>
      <c r="M3" s="777"/>
      <c r="N3" s="778"/>
      <c r="R3" s="306"/>
    </row>
    <row r="4" spans="1:18" ht="21.75" thickBot="1">
      <c r="R4" s="306"/>
    </row>
    <row r="5" spans="1:18" ht="21.75" thickBot="1">
      <c r="A5" s="270" t="s">
        <v>12</v>
      </c>
      <c r="B5" s="270" t="s">
        <v>11</v>
      </c>
      <c r="C5" s="270" t="s">
        <v>10</v>
      </c>
      <c r="D5" s="270" t="s">
        <v>9</v>
      </c>
      <c r="E5" s="270" t="s">
        <v>8</v>
      </c>
      <c r="F5" s="270" t="s">
        <v>40</v>
      </c>
      <c r="G5" s="270" t="s">
        <v>6</v>
      </c>
      <c r="H5" s="270" t="s">
        <v>5</v>
      </c>
      <c r="I5" s="270" t="s">
        <v>4</v>
      </c>
      <c r="J5" s="270" t="s">
        <v>183</v>
      </c>
      <c r="K5" s="270" t="s">
        <v>2</v>
      </c>
      <c r="L5" s="270" t="s">
        <v>484</v>
      </c>
      <c r="M5" s="270" t="s">
        <v>0</v>
      </c>
      <c r="N5" s="270" t="s">
        <v>256</v>
      </c>
      <c r="P5" s="787" t="s">
        <v>516</v>
      </c>
      <c r="R5" s="306"/>
    </row>
    <row r="6" spans="1:18" ht="21.75" thickBot="1">
      <c r="A6" s="270">
        <f>SUM(B6:M6)</f>
        <v>575</v>
      </c>
      <c r="B6" s="270">
        <v>50</v>
      </c>
      <c r="C6" s="270">
        <v>50</v>
      </c>
      <c r="D6" s="270">
        <v>50</v>
      </c>
      <c r="E6" s="270">
        <v>50</v>
      </c>
      <c r="F6" s="270">
        <v>50</v>
      </c>
      <c r="G6" s="270">
        <v>50</v>
      </c>
      <c r="H6" s="270">
        <v>50</v>
      </c>
      <c r="I6" s="270">
        <v>50</v>
      </c>
      <c r="J6" s="270">
        <v>50</v>
      </c>
      <c r="K6" s="270">
        <v>50</v>
      </c>
      <c r="L6" s="270">
        <v>50</v>
      </c>
      <c r="M6" s="270">
        <v>25</v>
      </c>
      <c r="N6" s="274" t="s">
        <v>517</v>
      </c>
      <c r="P6" s="788"/>
      <c r="R6" s="306"/>
    </row>
    <row r="7" spans="1:18" ht="42.75" thickBot="1">
      <c r="B7" s="553">
        <f>'محاسبه پایه حقوقی'!D6*'محاسبه پایه حقوقی'!D5*'مراکز هزینه پرسنل'!D7</f>
        <v>689699999.99999988</v>
      </c>
      <c r="C7" s="553">
        <f>'محاسبه پایه حقوقی'!E6*'محاسبه پایه حقوقی'!E5*'مراکز هزینه پرسنل'!E7</f>
        <v>689699999.99999988</v>
      </c>
      <c r="D7" s="553">
        <f>'محاسبه پایه حقوقی'!F6*'محاسبه پایه حقوقی'!F5*'مراکز هزینه پرسنل'!F7</f>
        <v>689699999.99999988</v>
      </c>
      <c r="E7" s="553">
        <f>'محاسبه پایه حقوقی'!G6*'محاسبه پایه حقوقی'!G5*'مراکز هزینه پرسنل'!G7</f>
        <v>689699999.99999988</v>
      </c>
      <c r="F7" s="553">
        <f>'محاسبه پایه حقوقی'!H6*'محاسبه پایه حقوقی'!H5*'مراکز هزینه پرسنل'!H7</f>
        <v>689699999.99999988</v>
      </c>
      <c r="G7" s="553">
        <f>'محاسبه پایه حقوقی'!I6*'محاسبه پایه حقوقی'!I5*'مراکز هزینه پرسنل'!I7</f>
        <v>689699999.99999988</v>
      </c>
      <c r="H7" s="553">
        <f>'محاسبه پایه حقوقی'!J6*'محاسبه پایه حقوقی'!J5*'مراکز هزینه پرسنل'!J7</f>
        <v>689699999.99999988</v>
      </c>
      <c r="I7" s="553">
        <f>'محاسبه پایه حقوقی'!K6*'محاسبه پایه حقوقی'!K5*'مراکز هزینه پرسنل'!K7</f>
        <v>376199999.99999994</v>
      </c>
      <c r="J7" s="553">
        <f>'محاسبه پایه حقوقی'!L6*'محاسبه پایه حقوقی'!L5*'مراکز هزینه پرسنل'!L7</f>
        <v>376199999.99999994</v>
      </c>
      <c r="K7" s="553">
        <f>'محاسبه پایه حقوقی'!M6*'محاسبه پایه حقوقی'!M5*'مراکز هزینه پرسنل'!M7</f>
        <v>376199999.99999994</v>
      </c>
      <c r="L7" s="553">
        <f>'محاسبه پایه حقوقی'!N6*'محاسبه پایه حقوقی'!N5*'مراکز هزینه پرسنل'!N7</f>
        <v>376199999.99999994</v>
      </c>
      <c r="M7" s="553">
        <f>'محاسبه پایه حقوقی'!O6*'محاسبه پایه حقوقی'!O5*'مراکز هزینه پرسنل'!O7</f>
        <v>376199999.99999994</v>
      </c>
      <c r="N7" s="274" t="s">
        <v>518</v>
      </c>
      <c r="P7" s="788"/>
      <c r="R7" s="306"/>
    </row>
    <row r="8" spans="1:18" ht="21.75" thickBot="1">
      <c r="P8" s="788"/>
      <c r="R8" s="306"/>
    </row>
    <row r="9" spans="1:18" ht="21.75" thickBot="1">
      <c r="J9" s="295">
        <v>192</v>
      </c>
      <c r="K9" s="296" t="s">
        <v>524</v>
      </c>
      <c r="M9" s="301">
        <v>220</v>
      </c>
      <c r="N9" s="302" t="s">
        <v>522</v>
      </c>
      <c r="P9" s="788"/>
      <c r="R9" s="306"/>
    </row>
    <row r="10" spans="1:18" ht="21.75" thickBot="1">
      <c r="J10" s="297"/>
      <c r="K10" s="298"/>
      <c r="M10" s="301">
        <v>192</v>
      </c>
      <c r="N10" s="302" t="s">
        <v>523</v>
      </c>
      <c r="P10" s="788"/>
      <c r="R10" s="306"/>
    </row>
    <row r="11" spans="1:18" ht="21.75" thickBot="1">
      <c r="P11" s="788"/>
      <c r="R11" s="306"/>
    </row>
    <row r="12" spans="1:18" ht="21.75" thickBot="1">
      <c r="B12" s="271">
        <f t="shared" ref="B12:L12" si="0">IF($J9=220,B7/$J9*1.4*B6,0)</f>
        <v>0</v>
      </c>
      <c r="C12" s="271">
        <f t="shared" si="0"/>
        <v>0</v>
      </c>
      <c r="D12" s="271">
        <f t="shared" si="0"/>
        <v>0</v>
      </c>
      <c r="E12" s="271">
        <f t="shared" si="0"/>
        <v>0</v>
      </c>
      <c r="F12" s="271">
        <f t="shared" si="0"/>
        <v>0</v>
      </c>
      <c r="G12" s="271">
        <f t="shared" si="0"/>
        <v>0</v>
      </c>
      <c r="H12" s="271">
        <f t="shared" si="0"/>
        <v>0</v>
      </c>
      <c r="I12" s="271">
        <f t="shared" si="0"/>
        <v>0</v>
      </c>
      <c r="J12" s="271">
        <f>IF($J9=220,J7/$J9*1.4*#REF!,0)</f>
        <v>0</v>
      </c>
      <c r="K12" s="271">
        <f t="shared" si="0"/>
        <v>0</v>
      </c>
      <c r="L12" s="271">
        <f t="shared" si="0"/>
        <v>0</v>
      </c>
      <c r="M12" s="271">
        <f>IF($J9=220,M7/$J9*1.4*J6,0)</f>
        <v>0</v>
      </c>
      <c r="N12" s="270" t="s">
        <v>519</v>
      </c>
      <c r="P12" s="788"/>
      <c r="R12" s="306"/>
    </row>
    <row r="13" spans="1:18" ht="21.75" thickBot="1">
      <c r="B13" s="271">
        <f t="shared" ref="B13:L13" si="1">IF($J9=192,B7/$J9*1.4*B6,0)</f>
        <v>251453124.99999994</v>
      </c>
      <c r="C13" s="271">
        <f t="shared" si="1"/>
        <v>251453124.99999994</v>
      </c>
      <c r="D13" s="271">
        <f t="shared" si="1"/>
        <v>251453124.99999994</v>
      </c>
      <c r="E13" s="271">
        <f t="shared" si="1"/>
        <v>251453124.99999994</v>
      </c>
      <c r="F13" s="271">
        <f t="shared" si="1"/>
        <v>251453124.99999994</v>
      </c>
      <c r="G13" s="271">
        <f t="shared" si="1"/>
        <v>251453124.99999994</v>
      </c>
      <c r="H13" s="271">
        <f t="shared" si="1"/>
        <v>251453124.99999994</v>
      </c>
      <c r="I13" s="271">
        <f t="shared" si="1"/>
        <v>137156249.99999997</v>
      </c>
      <c r="J13" s="271">
        <f>IF($J9=192,J7/$J9*1.4*J6)</f>
        <v>137156249.99999997</v>
      </c>
      <c r="K13" s="271">
        <f t="shared" si="1"/>
        <v>137156249.99999997</v>
      </c>
      <c r="L13" s="271">
        <f t="shared" si="1"/>
        <v>137156249.99999997</v>
      </c>
      <c r="M13" s="271">
        <f>IF($J9=192,M7/$J9*1.4*J6,0)</f>
        <v>137156249.99999997</v>
      </c>
      <c r="N13" s="270" t="s">
        <v>520</v>
      </c>
      <c r="P13" s="789"/>
      <c r="R13" s="306"/>
    </row>
    <row r="14" spans="1:18" s="304" customFormat="1">
      <c r="B14" s="303"/>
      <c r="C14" s="303"/>
      <c r="D14" s="303"/>
      <c r="E14" s="303"/>
      <c r="F14" s="303"/>
      <c r="G14" s="303"/>
      <c r="H14" s="303"/>
      <c r="I14" s="303"/>
      <c r="J14" s="303"/>
      <c r="K14" s="303"/>
      <c r="L14" s="303"/>
      <c r="M14" s="303"/>
      <c r="N14" s="303"/>
      <c r="P14" s="305"/>
      <c r="R14" s="306"/>
    </row>
    <row r="15" spans="1:18" s="304" customFormat="1" ht="21.75" thickBot="1">
      <c r="A15" s="306"/>
      <c r="B15" s="306"/>
      <c r="C15" s="306"/>
      <c r="D15" s="306"/>
      <c r="E15" s="306"/>
      <c r="F15" s="306"/>
      <c r="G15" s="306"/>
      <c r="H15" s="306"/>
      <c r="I15" s="306"/>
      <c r="J15" s="306"/>
      <c r="K15" s="306"/>
      <c r="L15" s="306"/>
      <c r="M15" s="306"/>
      <c r="N15" s="306"/>
      <c r="O15" s="306"/>
      <c r="P15" s="306"/>
      <c r="Q15" s="306"/>
      <c r="R15" s="306"/>
    </row>
    <row r="16" spans="1:18" ht="21.75" thickBot="1">
      <c r="A16" s="270" t="s">
        <v>12</v>
      </c>
      <c r="B16" s="293" t="s">
        <v>11</v>
      </c>
      <c r="C16" s="293" t="s">
        <v>10</v>
      </c>
      <c r="D16" s="293" t="s">
        <v>9</v>
      </c>
      <c r="E16" s="293" t="s">
        <v>8</v>
      </c>
      <c r="F16" s="293" t="s">
        <v>40</v>
      </c>
      <c r="G16" s="293" t="s">
        <v>6</v>
      </c>
      <c r="H16" s="293" t="s">
        <v>5</v>
      </c>
      <c r="I16" s="293" t="s">
        <v>4</v>
      </c>
      <c r="J16" s="293" t="s">
        <v>183</v>
      </c>
      <c r="K16" s="293" t="s">
        <v>2</v>
      </c>
      <c r="L16" s="293" t="s">
        <v>484</v>
      </c>
      <c r="M16" s="293" t="s">
        <v>0</v>
      </c>
      <c r="N16" s="270" t="s">
        <v>256</v>
      </c>
      <c r="P16" s="787" t="s">
        <v>525</v>
      </c>
      <c r="R16" s="306"/>
    </row>
    <row r="17" spans="1:18" ht="21.75" thickBot="1">
      <c r="A17" s="270">
        <f>SUM(B17:M17)</f>
        <v>270</v>
      </c>
      <c r="B17" s="270">
        <v>20</v>
      </c>
      <c r="C17" s="270">
        <v>20</v>
      </c>
      <c r="D17" s="270">
        <v>20</v>
      </c>
      <c r="E17" s="270">
        <v>20</v>
      </c>
      <c r="F17" s="270">
        <v>20</v>
      </c>
      <c r="G17" s="270">
        <v>20</v>
      </c>
      <c r="H17" s="270">
        <v>20</v>
      </c>
      <c r="I17" s="270">
        <v>20</v>
      </c>
      <c r="J17" s="270">
        <v>20</v>
      </c>
      <c r="K17" s="270">
        <v>20</v>
      </c>
      <c r="L17" s="270">
        <v>20</v>
      </c>
      <c r="M17" s="270">
        <v>50</v>
      </c>
      <c r="N17" s="274" t="s">
        <v>517</v>
      </c>
      <c r="P17" s="788"/>
      <c r="R17" s="306"/>
    </row>
    <row r="18" spans="1:18" ht="42.75" thickBot="1">
      <c r="B18" s="271">
        <f>'محاسبه پایه حقوقی'!D12*'محاسبه پایه حقوقی'!D11*'محاسبه پایه حقوقی'!D13</f>
        <v>341999999.99999994</v>
      </c>
      <c r="C18" s="271">
        <f>'محاسبه پایه حقوقی'!E12*'محاسبه پایه حقوقی'!E11*'محاسبه پایه حقوقی'!E13</f>
        <v>341999999.99999994</v>
      </c>
      <c r="D18" s="271">
        <f>'محاسبه پایه حقوقی'!F12*'محاسبه پایه حقوقی'!F11*'محاسبه پایه حقوقی'!F13</f>
        <v>341999999.99999994</v>
      </c>
      <c r="E18" s="271">
        <f>'محاسبه پایه حقوقی'!G12*'محاسبه پایه حقوقی'!G11*'محاسبه پایه حقوقی'!G13</f>
        <v>341999999.99999994</v>
      </c>
      <c r="F18" s="271">
        <f>'محاسبه پایه حقوقی'!H12*'محاسبه پایه حقوقی'!H11*'محاسبه پایه حقوقی'!H13</f>
        <v>341999999.99999994</v>
      </c>
      <c r="G18" s="271">
        <f>'محاسبه پایه حقوقی'!I12*'محاسبه پایه حقوقی'!I11*'محاسبه پایه حقوقی'!I13</f>
        <v>341999999.99999994</v>
      </c>
      <c r="H18" s="271">
        <f>'محاسبه پایه حقوقی'!J12*'محاسبه پایه حقوقی'!J11*'محاسبه پایه حقوقی'!J13</f>
        <v>341999999.99999994</v>
      </c>
      <c r="I18" s="271">
        <f>'محاسبه پایه حقوقی'!K12*'محاسبه پایه حقوقی'!K11*'محاسبه پایه حقوقی'!K13</f>
        <v>259919999.99999997</v>
      </c>
      <c r="J18" s="271">
        <f>'محاسبه پایه حقوقی'!L12*'محاسبه پایه حقوقی'!L11*'محاسبه پایه حقوقی'!L13</f>
        <v>259919999.99999997</v>
      </c>
      <c r="K18" s="271">
        <f>'محاسبه پایه حقوقی'!M12*'محاسبه پایه حقوقی'!M11*'محاسبه پایه حقوقی'!M13</f>
        <v>259919999.99999997</v>
      </c>
      <c r="L18" s="271">
        <f>'محاسبه پایه حقوقی'!N12*'محاسبه پایه حقوقی'!N11*'محاسبه پایه حقوقی'!N13</f>
        <v>259919999.99999997</v>
      </c>
      <c r="M18" s="271">
        <f>'محاسبه پایه حقوقی'!O12*'محاسبه پایه حقوقی'!O11*'محاسبه پایه حقوقی'!O13</f>
        <v>259919999.99999997</v>
      </c>
      <c r="N18" s="274" t="s">
        <v>518</v>
      </c>
      <c r="P18" s="788"/>
      <c r="R18" s="306"/>
    </row>
    <row r="19" spans="1:18">
      <c r="P19" s="788"/>
      <c r="R19" s="306"/>
    </row>
    <row r="20" spans="1:18" ht="21.75" thickBot="1">
      <c r="P20" s="788"/>
      <c r="R20" s="306"/>
    </row>
    <row r="21" spans="1:18" ht="21.75" thickBot="1">
      <c r="B21" s="271">
        <f t="shared" ref="B21:L21" si="2">IF($J9=220,B18/$J9*1.4*B17,0)</f>
        <v>0</v>
      </c>
      <c r="C21" s="271">
        <f t="shared" si="2"/>
        <v>0</v>
      </c>
      <c r="D21" s="271">
        <f t="shared" si="2"/>
        <v>0</v>
      </c>
      <c r="E21" s="271">
        <f t="shared" si="2"/>
        <v>0</v>
      </c>
      <c r="F21" s="271">
        <f t="shared" si="2"/>
        <v>0</v>
      </c>
      <c r="G21" s="271">
        <f t="shared" si="2"/>
        <v>0</v>
      </c>
      <c r="H21" s="271">
        <f t="shared" si="2"/>
        <v>0</v>
      </c>
      <c r="I21" s="271">
        <f t="shared" si="2"/>
        <v>0</v>
      </c>
      <c r="J21" s="271">
        <f t="shared" si="2"/>
        <v>0</v>
      </c>
      <c r="K21" s="271">
        <f t="shared" si="2"/>
        <v>0</v>
      </c>
      <c r="L21" s="271">
        <f t="shared" si="2"/>
        <v>0</v>
      </c>
      <c r="M21" s="271">
        <f>IF($J9=220,M18/$J9*1.4*M17,0)</f>
        <v>0</v>
      </c>
      <c r="N21" s="270" t="s">
        <v>519</v>
      </c>
      <c r="P21" s="788"/>
      <c r="R21" s="306"/>
    </row>
    <row r="22" spans="1:18" ht="21.75" thickBot="1">
      <c r="B22" s="271">
        <f t="shared" ref="B22:L22" si="3">IF($J9=192,B18/$J9*B17*1.4,0)</f>
        <v>49874999.999999985</v>
      </c>
      <c r="C22" s="271">
        <f t="shared" si="3"/>
        <v>49874999.999999985</v>
      </c>
      <c r="D22" s="271">
        <f t="shared" si="3"/>
        <v>49874999.999999985</v>
      </c>
      <c r="E22" s="271">
        <f t="shared" si="3"/>
        <v>49874999.999999985</v>
      </c>
      <c r="F22" s="271">
        <f t="shared" si="3"/>
        <v>49874999.999999985</v>
      </c>
      <c r="G22" s="271">
        <f t="shared" si="3"/>
        <v>49874999.999999985</v>
      </c>
      <c r="H22" s="271">
        <f t="shared" si="3"/>
        <v>49874999.999999985</v>
      </c>
      <c r="I22" s="271">
        <f t="shared" si="3"/>
        <v>37904999.999999993</v>
      </c>
      <c r="J22" s="271">
        <f t="shared" si="3"/>
        <v>37904999.999999993</v>
      </c>
      <c r="K22" s="271">
        <f t="shared" si="3"/>
        <v>37904999.999999993</v>
      </c>
      <c r="L22" s="271">
        <f t="shared" si="3"/>
        <v>37904999.999999993</v>
      </c>
      <c r="M22" s="271">
        <f>IF($J9=192,M18/$J9*M17*1.4,0)</f>
        <v>94762499.99999997</v>
      </c>
      <c r="N22" s="270" t="s">
        <v>520</v>
      </c>
      <c r="P22" s="789"/>
      <c r="R22" s="306"/>
    </row>
    <row r="23" spans="1:18">
      <c r="R23" s="306"/>
    </row>
    <row r="24" spans="1:18" s="304" customFormat="1">
      <c r="A24" s="306"/>
      <c r="B24" s="306"/>
      <c r="C24" s="306"/>
      <c r="D24" s="306"/>
      <c r="E24" s="306"/>
      <c r="F24" s="306"/>
      <c r="G24" s="306"/>
      <c r="H24" s="306"/>
      <c r="I24" s="306"/>
      <c r="J24" s="306"/>
      <c r="K24" s="306"/>
      <c r="L24" s="306"/>
      <c r="M24" s="306"/>
      <c r="N24" s="306"/>
      <c r="O24" s="306"/>
      <c r="P24" s="306"/>
      <c r="Q24" s="306"/>
      <c r="R24" s="306"/>
    </row>
    <row r="25" spans="1:18" s="304" customFormat="1" ht="21.75" thickBot="1">
      <c r="R25" s="306"/>
    </row>
    <row r="26" spans="1:18" ht="21.75" thickBot="1">
      <c r="A26" s="270" t="s">
        <v>12</v>
      </c>
      <c r="B26" s="293" t="s">
        <v>11</v>
      </c>
      <c r="C26" s="293" t="s">
        <v>10</v>
      </c>
      <c r="D26" s="293" t="s">
        <v>9</v>
      </c>
      <c r="E26" s="293" t="s">
        <v>8</v>
      </c>
      <c r="F26" s="293" t="s">
        <v>40</v>
      </c>
      <c r="G26" s="293" t="s">
        <v>6</v>
      </c>
      <c r="H26" s="293" t="s">
        <v>5</v>
      </c>
      <c r="I26" s="293" t="s">
        <v>4</v>
      </c>
      <c r="J26" s="293" t="s">
        <v>183</v>
      </c>
      <c r="K26" s="293" t="s">
        <v>2</v>
      </c>
      <c r="L26" s="293" t="s">
        <v>484</v>
      </c>
      <c r="M26" s="293" t="s">
        <v>0</v>
      </c>
      <c r="N26" s="270" t="s">
        <v>256</v>
      </c>
      <c r="P26" s="787" t="s">
        <v>526</v>
      </c>
      <c r="R26" s="306"/>
    </row>
    <row r="27" spans="1:18" ht="21.75" thickBot="1">
      <c r="A27" s="270">
        <f>SUM(B27:L27)</f>
        <v>225</v>
      </c>
      <c r="B27" s="270">
        <v>30</v>
      </c>
      <c r="C27" s="270">
        <v>15</v>
      </c>
      <c r="D27" s="270">
        <v>15</v>
      </c>
      <c r="E27" s="270">
        <v>15</v>
      </c>
      <c r="F27" s="270">
        <v>15</v>
      </c>
      <c r="G27" s="270">
        <v>15</v>
      </c>
      <c r="H27" s="270">
        <v>15</v>
      </c>
      <c r="I27" s="270">
        <v>15</v>
      </c>
      <c r="J27" s="595">
        <v>30</v>
      </c>
      <c r="K27" s="595">
        <v>30</v>
      </c>
      <c r="L27" s="595">
        <v>30</v>
      </c>
      <c r="M27" s="269">
        <v>30</v>
      </c>
      <c r="N27" s="274" t="s">
        <v>517</v>
      </c>
      <c r="P27" s="788"/>
      <c r="R27" s="306"/>
    </row>
    <row r="28" spans="1:18" ht="21.75" thickBot="1">
      <c r="B28" s="271">
        <f>'محاسبه پایه حقوقی'!D19*'محاسبه پایه حقوقی'!D18*'محاسبه پایه حقوقی'!D17</f>
        <v>448000000.00000006</v>
      </c>
      <c r="C28" s="271">
        <f>'محاسبه پایه حقوقی'!E19*'محاسبه پایه حقوقی'!E18*'محاسبه پایه حقوقی'!E17</f>
        <v>448000000.00000006</v>
      </c>
      <c r="D28" s="271">
        <f>'محاسبه پایه حقوقی'!F19*'محاسبه پایه حقوقی'!F18*'محاسبه پایه حقوقی'!F17</f>
        <v>448000000.00000006</v>
      </c>
      <c r="E28" s="271">
        <f>'محاسبه پایه حقوقی'!G19*'محاسبه پایه حقوقی'!G18*'محاسبه پایه حقوقی'!G17</f>
        <v>448000000.00000006</v>
      </c>
      <c r="F28" s="271">
        <f>'محاسبه پایه حقوقی'!H19*'محاسبه پایه حقوقی'!H18*'محاسبه پایه حقوقی'!H17</f>
        <v>448000000.00000006</v>
      </c>
      <c r="G28" s="271">
        <f>'محاسبه پایه حقوقی'!I19*'محاسبه پایه حقوقی'!I18*'محاسبه پایه حقوقی'!I17</f>
        <v>448000000.00000006</v>
      </c>
      <c r="H28" s="271">
        <f>'محاسبه پایه حقوقی'!J19*'محاسبه پایه حقوقی'!J18*'محاسبه پایه حقوقی'!J17</f>
        <v>448000000.00000006</v>
      </c>
      <c r="I28" s="271">
        <f>'محاسبه پایه حقوقی'!K19*'محاسبه پایه حقوقی'!K18*'محاسبه پایه حقوقی'!K17</f>
        <v>448000000.00000006</v>
      </c>
      <c r="J28" s="271">
        <f>'محاسبه پایه حقوقی'!L19*'محاسبه پایه حقوقی'!L18*'محاسبه پایه حقوقی'!L17</f>
        <v>448000000.00000006</v>
      </c>
      <c r="K28" s="271">
        <f>'محاسبه پایه حقوقی'!M19*'محاسبه پایه حقوقی'!M18*'محاسبه پایه حقوقی'!M17</f>
        <v>448000000.00000006</v>
      </c>
      <c r="L28" s="271">
        <f>'محاسبه پایه حقوقی'!N19*'محاسبه پایه حقوقی'!N18*'محاسبه پایه حقوقی'!N17</f>
        <v>448000000.00000006</v>
      </c>
      <c r="M28" s="271">
        <f>'محاسبه پایه حقوقی'!O19*'محاسبه پایه حقوقی'!O18*'محاسبه پایه حقوقی'!O17</f>
        <v>448000000.00000006</v>
      </c>
      <c r="N28" s="274" t="s">
        <v>518</v>
      </c>
      <c r="P28" s="788"/>
      <c r="R28" s="306"/>
    </row>
    <row r="29" spans="1:18">
      <c r="P29" s="788"/>
      <c r="R29" s="306"/>
    </row>
    <row r="30" spans="1:18" ht="21.75" thickBot="1">
      <c r="P30" s="788"/>
      <c r="R30" s="306"/>
    </row>
    <row r="31" spans="1:18" ht="21.75" thickBot="1">
      <c r="B31" s="271">
        <f t="shared" ref="B31:L31" si="4">IF($J9=220,B28/$J9*1.4*B27,0)</f>
        <v>0</v>
      </c>
      <c r="C31" s="271">
        <f t="shared" si="4"/>
        <v>0</v>
      </c>
      <c r="D31" s="271">
        <f t="shared" si="4"/>
        <v>0</v>
      </c>
      <c r="E31" s="271">
        <f t="shared" si="4"/>
        <v>0</v>
      </c>
      <c r="F31" s="271">
        <f t="shared" si="4"/>
        <v>0</v>
      </c>
      <c r="G31" s="271">
        <f t="shared" si="4"/>
        <v>0</v>
      </c>
      <c r="H31" s="271">
        <f t="shared" si="4"/>
        <v>0</v>
      </c>
      <c r="I31" s="271">
        <f t="shared" si="4"/>
        <v>0</v>
      </c>
      <c r="J31" s="271">
        <f>IF($J9=220,J28/$J9*1.4*#REF!,0)</f>
        <v>0</v>
      </c>
      <c r="K31" s="271">
        <f t="shared" si="4"/>
        <v>0</v>
      </c>
      <c r="L31" s="271">
        <f t="shared" si="4"/>
        <v>0</v>
      </c>
      <c r="M31" s="271">
        <f>IF($J9=220,M28/$J9*1.4*J27,0)</f>
        <v>0</v>
      </c>
      <c r="N31" s="270" t="s">
        <v>519</v>
      </c>
      <c r="P31" s="788"/>
      <c r="R31" s="306"/>
    </row>
    <row r="32" spans="1:18" ht="21.75" thickBot="1">
      <c r="B32" s="271">
        <f t="shared" ref="B32:L32" si="5">IF($J9=192,B28/$J9*B27*1.4,0)</f>
        <v>98000000</v>
      </c>
      <c r="C32" s="271">
        <f t="shared" si="5"/>
        <v>49000000</v>
      </c>
      <c r="D32" s="271">
        <f t="shared" si="5"/>
        <v>49000000</v>
      </c>
      <c r="E32" s="271">
        <f t="shared" si="5"/>
        <v>49000000</v>
      </c>
      <c r="F32" s="271">
        <f t="shared" si="5"/>
        <v>49000000</v>
      </c>
      <c r="G32" s="271">
        <f t="shared" si="5"/>
        <v>49000000</v>
      </c>
      <c r="H32" s="271">
        <f t="shared" si="5"/>
        <v>49000000</v>
      </c>
      <c r="I32" s="271">
        <f t="shared" si="5"/>
        <v>49000000</v>
      </c>
      <c r="J32" s="271">
        <f t="shared" si="5"/>
        <v>98000000</v>
      </c>
      <c r="K32" s="271">
        <f t="shared" si="5"/>
        <v>98000000</v>
      </c>
      <c r="L32" s="271">
        <f t="shared" si="5"/>
        <v>98000000</v>
      </c>
      <c r="M32" s="271">
        <f>IF($J9=192,M28/$J9*J27*1.4,0)</f>
        <v>98000000</v>
      </c>
      <c r="N32" s="270" t="s">
        <v>520</v>
      </c>
      <c r="P32" s="789"/>
      <c r="R32" s="306"/>
    </row>
    <row r="33" spans="1:18">
      <c r="R33" s="306"/>
    </row>
    <row r="34" spans="1:18" s="304" customFormat="1">
      <c r="A34" s="306"/>
      <c r="B34" s="306"/>
      <c r="C34" s="306"/>
      <c r="D34" s="306"/>
      <c r="E34" s="306"/>
      <c r="F34" s="306"/>
      <c r="G34" s="306"/>
      <c r="H34" s="306"/>
      <c r="I34" s="306"/>
      <c r="J34" s="306"/>
      <c r="K34" s="306"/>
      <c r="L34" s="306"/>
      <c r="M34" s="306"/>
      <c r="N34" s="306"/>
      <c r="O34" s="306"/>
      <c r="P34" s="306"/>
      <c r="Q34" s="306"/>
      <c r="R34" s="306"/>
    </row>
    <row r="35" spans="1:18" ht="21.75" thickBot="1">
      <c r="A35" s="304"/>
      <c r="B35" s="304"/>
      <c r="C35" s="304"/>
      <c r="D35" s="304"/>
      <c r="E35" s="304"/>
      <c r="F35" s="304"/>
      <c r="G35" s="304"/>
      <c r="H35" s="304"/>
      <c r="I35" s="304"/>
      <c r="J35" s="304"/>
      <c r="K35" s="304"/>
      <c r="L35" s="304"/>
      <c r="M35" s="304"/>
      <c r="N35" s="304"/>
      <c r="O35" s="304"/>
      <c r="P35" s="304"/>
      <c r="R35" s="306"/>
    </row>
    <row r="36" spans="1:18" ht="21.75" thickBot="1">
      <c r="A36" s="270" t="s">
        <v>12</v>
      </c>
      <c r="B36" s="293" t="s">
        <v>11</v>
      </c>
      <c r="C36" s="293" t="s">
        <v>10</v>
      </c>
      <c r="D36" s="293" t="s">
        <v>9</v>
      </c>
      <c r="E36" s="293" t="s">
        <v>8</v>
      </c>
      <c r="F36" s="293" t="s">
        <v>40</v>
      </c>
      <c r="G36" s="293" t="s">
        <v>6</v>
      </c>
      <c r="H36" s="293" t="s">
        <v>5</v>
      </c>
      <c r="I36" s="293" t="s">
        <v>4</v>
      </c>
      <c r="J36" s="293" t="s">
        <v>183</v>
      </c>
      <c r="K36" s="293" t="s">
        <v>2</v>
      </c>
      <c r="L36" s="293" t="s">
        <v>484</v>
      </c>
      <c r="M36" s="293" t="s">
        <v>0</v>
      </c>
      <c r="N36" s="270" t="s">
        <v>256</v>
      </c>
      <c r="P36" s="787" t="s">
        <v>95</v>
      </c>
      <c r="R36" s="306"/>
    </row>
    <row r="37" spans="1:18" ht="21.75" thickBot="1">
      <c r="A37" s="270">
        <f>SUM(B37:M37)</f>
        <v>400</v>
      </c>
      <c r="B37" s="820">
        <v>50</v>
      </c>
      <c r="C37" s="270">
        <v>30</v>
      </c>
      <c r="D37" s="270">
        <v>30</v>
      </c>
      <c r="E37" s="270">
        <v>30</v>
      </c>
      <c r="F37" s="270">
        <v>30</v>
      </c>
      <c r="G37" s="820">
        <v>50</v>
      </c>
      <c r="H37" s="270">
        <v>30</v>
      </c>
      <c r="I37" s="270">
        <v>30</v>
      </c>
      <c r="J37" s="270">
        <v>30</v>
      </c>
      <c r="K37" s="270">
        <v>30</v>
      </c>
      <c r="L37" s="270">
        <v>30</v>
      </c>
      <c r="M37" s="270">
        <v>30</v>
      </c>
      <c r="N37" s="274" t="s">
        <v>517</v>
      </c>
      <c r="P37" s="788"/>
      <c r="R37" s="306"/>
    </row>
    <row r="38" spans="1:18" ht="42.75" thickBot="1">
      <c r="B38" s="271">
        <f>'محاسبه پایه حقوقی'!D25*'محاسبه پایه حقوقی'!D24*'محاسبه پایه حقوقی'!D23</f>
        <v>369359999.99999994</v>
      </c>
      <c r="C38" s="271">
        <f>'محاسبه پایه حقوقی'!E25*'محاسبه پایه حقوقی'!E24*'محاسبه پایه حقوقی'!E23</f>
        <v>369359999.99999994</v>
      </c>
      <c r="D38" s="271">
        <f>'محاسبه پایه حقوقی'!F25*'محاسبه پایه حقوقی'!F24*'محاسبه پایه حقوقی'!F23</f>
        <v>369359999.99999994</v>
      </c>
      <c r="E38" s="271">
        <f>'محاسبه پایه حقوقی'!G25*'محاسبه پایه حقوقی'!G24*'محاسبه پایه حقوقی'!G23</f>
        <v>369359999.99999994</v>
      </c>
      <c r="F38" s="271">
        <f>'محاسبه پایه حقوقی'!H25*'محاسبه پایه حقوقی'!H24*'محاسبه پایه حقوقی'!H23</f>
        <v>369359999.99999994</v>
      </c>
      <c r="G38" s="271">
        <f>'محاسبه پایه حقوقی'!I25*'محاسبه پایه حقوقی'!I24*'محاسبه پایه حقوقی'!I23</f>
        <v>369359999.99999994</v>
      </c>
      <c r="H38" s="271">
        <f>'محاسبه پایه حقوقی'!J25*'محاسبه پایه حقوقی'!J24*'محاسبه پایه حقوقی'!J23</f>
        <v>369359999.99999994</v>
      </c>
      <c r="I38" s="271">
        <f>'محاسبه پایه حقوقی'!K25*'محاسبه پایه حقوقی'!K24*'محاسبه پایه حقوقی'!K23</f>
        <v>246239999.99999997</v>
      </c>
      <c r="J38" s="271">
        <f>'محاسبه پایه حقوقی'!L25*'محاسبه پایه حقوقی'!L24*'محاسبه پایه حقوقی'!L23</f>
        <v>246239999.99999997</v>
      </c>
      <c r="K38" s="271">
        <f>'محاسبه پایه حقوقی'!M25*'محاسبه پایه حقوقی'!M24*'محاسبه پایه حقوقی'!M23</f>
        <v>246239999.99999997</v>
      </c>
      <c r="L38" s="271">
        <f>'محاسبه پایه حقوقی'!N25*'محاسبه پایه حقوقی'!N24*'محاسبه پایه حقوقی'!N23</f>
        <v>246239999.99999997</v>
      </c>
      <c r="M38" s="271">
        <f>'محاسبه پایه حقوقی'!O25*'محاسبه پایه حقوقی'!O24*'محاسبه پایه حقوقی'!O23</f>
        <v>246239999.99999997</v>
      </c>
      <c r="N38" s="274" t="s">
        <v>518</v>
      </c>
      <c r="P38" s="788"/>
      <c r="R38" s="306"/>
    </row>
    <row r="39" spans="1:18">
      <c r="P39" s="788"/>
      <c r="R39" s="306"/>
    </row>
    <row r="40" spans="1:18" ht="21.75" thickBot="1">
      <c r="P40" s="788"/>
      <c r="R40" s="306"/>
    </row>
    <row r="41" spans="1:18" ht="21.75" thickBot="1">
      <c r="B41" s="271">
        <f t="shared" ref="B41:L41" si="6">IF($J9=220,B38/$J9*1.4*B37,0)</f>
        <v>0</v>
      </c>
      <c r="C41" s="271">
        <f t="shared" si="6"/>
        <v>0</v>
      </c>
      <c r="D41" s="271">
        <f t="shared" si="6"/>
        <v>0</v>
      </c>
      <c r="E41" s="271">
        <f t="shared" si="6"/>
        <v>0</v>
      </c>
      <c r="F41" s="271">
        <f t="shared" si="6"/>
        <v>0</v>
      </c>
      <c r="G41" s="271">
        <f t="shared" si="6"/>
        <v>0</v>
      </c>
      <c r="H41" s="271">
        <f t="shared" si="6"/>
        <v>0</v>
      </c>
      <c r="I41" s="271">
        <f t="shared" si="6"/>
        <v>0</v>
      </c>
      <c r="J41" s="271">
        <f t="shared" si="6"/>
        <v>0</v>
      </c>
      <c r="K41" s="271">
        <f t="shared" si="6"/>
        <v>0</v>
      </c>
      <c r="L41" s="271">
        <f t="shared" si="6"/>
        <v>0</v>
      </c>
      <c r="M41" s="271">
        <f>IF($J9=220,M38/$J9*1.4*M37,0)</f>
        <v>0</v>
      </c>
      <c r="N41" s="270" t="s">
        <v>519</v>
      </c>
      <c r="P41" s="788"/>
      <c r="R41" s="306"/>
    </row>
    <row r="42" spans="1:18" ht="21.75" thickBot="1">
      <c r="B42" s="271">
        <f t="shared" ref="B42:L42" si="7">IF($J9=192,B38/$J9*B37*1.4,0)</f>
        <v>134662499.99999997</v>
      </c>
      <c r="C42" s="271">
        <f t="shared" si="7"/>
        <v>80797499.999999985</v>
      </c>
      <c r="D42" s="271">
        <f t="shared" si="7"/>
        <v>80797499.999999985</v>
      </c>
      <c r="E42" s="271">
        <f t="shared" si="7"/>
        <v>80797499.999999985</v>
      </c>
      <c r="F42" s="271">
        <f t="shared" si="7"/>
        <v>80797499.999999985</v>
      </c>
      <c r="G42" s="271">
        <f t="shared" si="7"/>
        <v>134662499.99999997</v>
      </c>
      <c r="H42" s="271">
        <f t="shared" si="7"/>
        <v>80797499.999999985</v>
      </c>
      <c r="I42" s="271">
        <f t="shared" si="7"/>
        <v>53864999.999999985</v>
      </c>
      <c r="J42" s="271">
        <f t="shared" si="7"/>
        <v>53864999.999999985</v>
      </c>
      <c r="K42" s="271">
        <f t="shared" si="7"/>
        <v>53864999.999999985</v>
      </c>
      <c r="L42" s="271">
        <f t="shared" si="7"/>
        <v>53864999.999999985</v>
      </c>
      <c r="M42" s="271">
        <f>IF($J9=192,M38/$J9*M37*1.4,0)</f>
        <v>53864999.999999985</v>
      </c>
      <c r="N42" s="270" t="s">
        <v>520</v>
      </c>
      <c r="P42" s="789"/>
      <c r="R42" s="306"/>
    </row>
    <row r="43" spans="1:18">
      <c r="R43" s="306"/>
    </row>
    <row r="44" spans="1:18">
      <c r="A44" s="306"/>
      <c r="B44" s="306"/>
      <c r="C44" s="306"/>
      <c r="D44" s="306"/>
      <c r="E44" s="306"/>
      <c r="F44" s="306"/>
      <c r="G44" s="306"/>
      <c r="H44" s="306"/>
      <c r="I44" s="306"/>
      <c r="J44" s="306"/>
      <c r="K44" s="306"/>
      <c r="L44" s="306"/>
      <c r="M44" s="306"/>
      <c r="N44" s="306"/>
      <c r="O44" s="306"/>
      <c r="P44" s="306"/>
      <c r="Q44" s="306"/>
      <c r="R44" s="306"/>
    </row>
    <row r="45" spans="1:18" ht="21.75" thickBot="1">
      <c r="A45" s="304"/>
      <c r="B45" s="304"/>
      <c r="C45" s="304"/>
      <c r="D45" s="304"/>
      <c r="E45" s="304"/>
      <c r="F45" s="304"/>
      <c r="G45" s="304"/>
      <c r="H45" s="304"/>
      <c r="I45" s="304"/>
      <c r="J45" s="304"/>
      <c r="K45" s="304"/>
      <c r="L45" s="304"/>
      <c r="M45" s="304"/>
      <c r="N45" s="304"/>
      <c r="O45" s="304"/>
      <c r="P45" s="304"/>
      <c r="R45" s="306"/>
    </row>
    <row r="46" spans="1:18" ht="21.75" thickBot="1">
      <c r="A46" s="270" t="s">
        <v>12</v>
      </c>
      <c r="B46" s="293" t="s">
        <v>11</v>
      </c>
      <c r="C46" s="293" t="s">
        <v>10</v>
      </c>
      <c r="D46" s="293" t="s">
        <v>9</v>
      </c>
      <c r="E46" s="293" t="s">
        <v>8</v>
      </c>
      <c r="F46" s="293" t="s">
        <v>40</v>
      </c>
      <c r="G46" s="293" t="s">
        <v>6</v>
      </c>
      <c r="H46" s="293" t="s">
        <v>5</v>
      </c>
      <c r="I46" s="293" t="s">
        <v>4</v>
      </c>
      <c r="J46" s="293" t="s">
        <v>183</v>
      </c>
      <c r="K46" s="293" t="s">
        <v>2</v>
      </c>
      <c r="L46" s="293" t="s">
        <v>484</v>
      </c>
      <c r="M46" s="293" t="s">
        <v>0</v>
      </c>
      <c r="N46" s="270" t="s">
        <v>256</v>
      </c>
      <c r="P46" s="787" t="s">
        <v>527</v>
      </c>
      <c r="R46" s="306"/>
    </row>
    <row r="47" spans="1:18" ht="21.75" thickBot="1">
      <c r="A47" s="270">
        <f>SUM(B47:M47)</f>
        <v>420</v>
      </c>
      <c r="B47" s="270">
        <v>20</v>
      </c>
      <c r="C47" s="270">
        <v>20</v>
      </c>
      <c r="D47" s="270">
        <v>20</v>
      </c>
      <c r="E47" s="270">
        <v>20</v>
      </c>
      <c r="F47" s="270">
        <v>20</v>
      </c>
      <c r="G47" s="270">
        <v>20</v>
      </c>
      <c r="H47" s="820">
        <v>50</v>
      </c>
      <c r="I47" s="820">
        <v>50</v>
      </c>
      <c r="J47" s="820">
        <v>50</v>
      </c>
      <c r="K47" s="820">
        <v>50</v>
      </c>
      <c r="L47" s="820">
        <v>50</v>
      </c>
      <c r="M47" s="820">
        <v>50</v>
      </c>
      <c r="N47" s="274" t="s">
        <v>517</v>
      </c>
      <c r="P47" s="788"/>
      <c r="R47" s="306"/>
    </row>
    <row r="48" spans="1:18" ht="42.75" thickBot="1">
      <c r="B48" s="271">
        <f>'محاسبه پایه حقوقی'!D31*'محاسبه پایه حقوقی'!D30*'محاسبه پایه حقوقی'!D29</f>
        <v>85499999.999999985</v>
      </c>
      <c r="C48" s="271">
        <f>'محاسبه پایه حقوقی'!E31*'محاسبه پایه حقوقی'!E30*'محاسبه پایه حقوقی'!E29</f>
        <v>85499999.999999985</v>
      </c>
      <c r="D48" s="271">
        <f>'محاسبه پایه حقوقی'!F31*'محاسبه پایه حقوقی'!F30*'محاسبه پایه حقوقی'!F29</f>
        <v>85499999.999999985</v>
      </c>
      <c r="E48" s="271">
        <f>'محاسبه پایه حقوقی'!G31*'محاسبه پایه حقوقی'!G30*'محاسبه پایه حقوقی'!G29</f>
        <v>85499999.999999985</v>
      </c>
      <c r="F48" s="271">
        <f>'محاسبه پایه حقوقی'!H31*'محاسبه پایه حقوقی'!H30*'محاسبه پایه حقوقی'!H29</f>
        <v>85499999.999999985</v>
      </c>
      <c r="G48" s="271">
        <f>'محاسبه پایه حقوقی'!I31*'محاسبه پایه حقوقی'!I30*'محاسبه پایه حقوقی'!I29</f>
        <v>85499999.999999985</v>
      </c>
      <c r="H48" s="271">
        <f>'محاسبه پایه حقوقی'!J31*'محاسبه پایه حقوقی'!J30*'محاسبه پایه حقوقی'!J29</f>
        <v>142499999.99999997</v>
      </c>
      <c r="I48" s="271">
        <f>'محاسبه پایه حقوقی'!K31*'محاسبه پایه حقوقی'!K30*'محاسبه پایه حقوقی'!K29</f>
        <v>142499999.99999997</v>
      </c>
      <c r="J48" s="271">
        <f>'محاسبه پایه حقوقی'!L31*'محاسبه پایه حقوقی'!L30*'محاسبه پایه حقوقی'!L29</f>
        <v>142499999.99999997</v>
      </c>
      <c r="K48" s="271">
        <f>'محاسبه پایه حقوقی'!M31*'محاسبه پایه حقوقی'!M30*'محاسبه پایه حقوقی'!M29</f>
        <v>142499999.99999997</v>
      </c>
      <c r="L48" s="271">
        <f>'محاسبه پایه حقوقی'!N31*'محاسبه پایه حقوقی'!N30*'محاسبه پایه حقوقی'!N29</f>
        <v>142499999.99999997</v>
      </c>
      <c r="M48" s="271">
        <f>'محاسبه پایه حقوقی'!O31*'محاسبه پایه حقوقی'!O30*'محاسبه پایه حقوقی'!O29</f>
        <v>142499999.99999997</v>
      </c>
      <c r="N48" s="274" t="s">
        <v>518</v>
      </c>
      <c r="P48" s="788"/>
      <c r="R48" s="306"/>
    </row>
    <row r="49" spans="1:18">
      <c r="P49" s="788"/>
      <c r="R49" s="306"/>
    </row>
    <row r="50" spans="1:18" ht="21.75" thickBot="1">
      <c r="P50" s="788"/>
      <c r="R50" s="306"/>
    </row>
    <row r="51" spans="1:18" ht="21.75" thickBot="1">
      <c r="B51" s="271">
        <f t="shared" ref="B51:L51" si="8">IF($J9=220,B48/$J9*1.4*B47,0)</f>
        <v>0</v>
      </c>
      <c r="C51" s="271">
        <f t="shared" si="8"/>
        <v>0</v>
      </c>
      <c r="D51" s="271">
        <f t="shared" si="8"/>
        <v>0</v>
      </c>
      <c r="E51" s="271">
        <f t="shared" si="8"/>
        <v>0</v>
      </c>
      <c r="F51" s="271">
        <f t="shared" si="8"/>
        <v>0</v>
      </c>
      <c r="G51" s="271">
        <f t="shared" si="8"/>
        <v>0</v>
      </c>
      <c r="H51" s="271">
        <f t="shared" si="8"/>
        <v>0</v>
      </c>
      <c r="I51" s="271">
        <f t="shared" si="8"/>
        <v>0</v>
      </c>
      <c r="J51" s="271">
        <f t="shared" si="8"/>
        <v>0</v>
      </c>
      <c r="K51" s="271">
        <f t="shared" si="8"/>
        <v>0</v>
      </c>
      <c r="L51" s="271">
        <f t="shared" si="8"/>
        <v>0</v>
      </c>
      <c r="M51" s="271">
        <f>IF($J9=220,M48/$J9*1.4*M47,0)</f>
        <v>0</v>
      </c>
      <c r="N51" s="270" t="s">
        <v>519</v>
      </c>
      <c r="P51" s="788"/>
      <c r="R51" s="306"/>
    </row>
    <row r="52" spans="1:18" ht="21.75" thickBot="1">
      <c r="B52" s="271">
        <f t="shared" ref="B52:L52" si="9">IF($J9=192,B48/$J9*B47*1.4,0)</f>
        <v>12468749.999999996</v>
      </c>
      <c r="C52" s="271">
        <f t="shared" si="9"/>
        <v>12468749.999999996</v>
      </c>
      <c r="D52" s="271">
        <f t="shared" si="9"/>
        <v>12468749.999999996</v>
      </c>
      <c r="E52" s="271">
        <f t="shared" si="9"/>
        <v>12468749.999999996</v>
      </c>
      <c r="F52" s="271">
        <f t="shared" si="9"/>
        <v>12468749.999999996</v>
      </c>
      <c r="G52" s="271">
        <f t="shared" si="9"/>
        <v>12468749.999999996</v>
      </c>
      <c r="H52" s="271">
        <f t="shared" si="9"/>
        <v>51953124.999999985</v>
      </c>
      <c r="I52" s="271">
        <f t="shared" si="9"/>
        <v>51953124.999999985</v>
      </c>
      <c r="J52" s="271">
        <f t="shared" si="9"/>
        <v>51953124.999999985</v>
      </c>
      <c r="K52" s="271">
        <f t="shared" si="9"/>
        <v>51953124.999999985</v>
      </c>
      <c r="L52" s="271">
        <f t="shared" si="9"/>
        <v>51953124.999999985</v>
      </c>
      <c r="M52" s="271">
        <f>IF($J9=192,M48/$J9*M47*1.4,0)</f>
        <v>51953124.999999985</v>
      </c>
      <c r="N52" s="270" t="s">
        <v>520</v>
      </c>
      <c r="P52" s="789"/>
      <c r="R52" s="306"/>
    </row>
    <row r="53" spans="1:18">
      <c r="R53" s="306"/>
    </row>
    <row r="54" spans="1:18">
      <c r="A54" s="306"/>
      <c r="B54" s="306"/>
      <c r="C54" s="306"/>
      <c r="D54" s="306"/>
      <c r="E54" s="306"/>
      <c r="F54" s="306"/>
      <c r="G54" s="306"/>
      <c r="H54" s="306"/>
      <c r="I54" s="306"/>
      <c r="J54" s="306"/>
      <c r="K54" s="306"/>
      <c r="L54" s="306"/>
      <c r="M54" s="306"/>
      <c r="N54" s="306"/>
      <c r="O54" s="306"/>
      <c r="P54" s="306"/>
      <c r="Q54" s="306"/>
      <c r="R54" s="306"/>
    </row>
  </sheetData>
  <mergeCells count="6">
    <mergeCell ref="P36:P42"/>
    <mergeCell ref="P46:P52"/>
    <mergeCell ref="B3:N3"/>
    <mergeCell ref="P5:P13"/>
    <mergeCell ref="P16:P22"/>
    <mergeCell ref="P26:P32"/>
  </mergeCells>
  <hyperlinks>
    <hyperlink ref="N2" r:id="rId1" location="'فهرست مطالب'!A1"/>
  </hyperlink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rgb="FFFF0000"/>
  </sheetPr>
  <dimension ref="E3:P24"/>
  <sheetViews>
    <sheetView topLeftCell="A5" workbookViewId="0">
      <selection activeCell="D16" sqref="D16"/>
    </sheetView>
  </sheetViews>
  <sheetFormatPr defaultRowHeight="21"/>
  <cols>
    <col min="1" max="8" width="9.140625" style="269"/>
    <col min="9" max="10" width="11.42578125" style="269" bestFit="1" customWidth="1"/>
    <col min="11" max="11" width="9.140625" style="269"/>
    <col min="12" max="12" width="15.42578125" style="269" bestFit="1" customWidth="1"/>
    <col min="13" max="13" width="9.140625" style="269"/>
    <col min="14" max="14" width="37.5703125" style="269" bestFit="1" customWidth="1"/>
    <col min="15" max="15" width="9.140625" style="269"/>
    <col min="16" max="16" width="9.28515625" style="269" bestFit="1" customWidth="1"/>
    <col min="17" max="16384" width="9.140625" style="269"/>
  </cols>
  <sheetData>
    <row r="3" spans="5:16" ht="28.5">
      <c r="E3" s="307"/>
      <c r="F3" s="307"/>
      <c r="G3" s="307"/>
      <c r="H3" s="307"/>
      <c r="I3" s="307"/>
      <c r="J3" s="307"/>
      <c r="K3" s="307"/>
      <c r="L3" s="786" t="s">
        <v>528</v>
      </c>
      <c r="M3" s="786"/>
      <c r="N3" s="786"/>
      <c r="O3" s="786"/>
      <c r="P3" s="786"/>
    </row>
    <row r="4" spans="5:16" ht="21.75" thickBot="1"/>
    <row r="5" spans="5:16" ht="21.75" thickTop="1">
      <c r="L5" s="308" t="s">
        <v>531</v>
      </c>
      <c r="M5" s="309"/>
      <c r="N5" s="309" t="s">
        <v>530</v>
      </c>
      <c r="O5" s="309"/>
      <c r="P5" s="310" t="s">
        <v>529</v>
      </c>
    </row>
    <row r="6" spans="5:16">
      <c r="L6" s="311"/>
      <c r="M6" s="299"/>
      <c r="N6" s="299"/>
      <c r="O6" s="299"/>
      <c r="P6" s="312"/>
    </row>
    <row r="7" spans="5:16">
      <c r="L7" s="311">
        <v>400000</v>
      </c>
      <c r="M7" s="299"/>
      <c r="N7" s="299" t="s">
        <v>532</v>
      </c>
      <c r="O7" s="299"/>
      <c r="P7" s="312">
        <v>1</v>
      </c>
    </row>
    <row r="8" spans="5:16">
      <c r="L8" s="531">
        <f>309977*3*1.15</f>
        <v>1069420.6499999999</v>
      </c>
      <c r="M8" s="299"/>
      <c r="N8" s="299" t="s">
        <v>533</v>
      </c>
      <c r="O8" s="299"/>
      <c r="P8" s="312">
        <v>2</v>
      </c>
    </row>
    <row r="9" spans="5:16">
      <c r="L9" s="531">
        <f>L8*2</f>
        <v>2138841.2999999998</v>
      </c>
      <c r="M9" s="299"/>
      <c r="N9" s="299" t="s">
        <v>534</v>
      </c>
      <c r="O9" s="299"/>
      <c r="P9" s="312">
        <v>3</v>
      </c>
    </row>
    <row r="10" spans="5:16">
      <c r="L10" s="311">
        <v>1100000</v>
      </c>
      <c r="M10" s="299"/>
      <c r="N10" s="299" t="s">
        <v>535</v>
      </c>
      <c r="O10" s="299"/>
      <c r="P10" s="312">
        <v>4</v>
      </c>
    </row>
    <row r="11" spans="5:16">
      <c r="L11" s="311">
        <f>17000*30</f>
        <v>510000</v>
      </c>
      <c r="M11" s="299"/>
      <c r="N11" s="299" t="s">
        <v>536</v>
      </c>
      <c r="O11" s="299"/>
      <c r="P11" s="312">
        <v>5</v>
      </c>
    </row>
    <row r="12" spans="5:16">
      <c r="L12" s="531">
        <f>L16*60</f>
        <v>21389793</v>
      </c>
      <c r="M12" s="299"/>
      <c r="N12" s="299" t="s">
        <v>537</v>
      </c>
      <c r="O12" s="299"/>
      <c r="P12" s="312">
        <v>6</v>
      </c>
    </row>
    <row r="13" spans="5:16">
      <c r="L13" s="531">
        <f>L16*90</f>
        <v>32084689.5</v>
      </c>
      <c r="M13" s="299"/>
      <c r="N13" s="299" t="s">
        <v>544</v>
      </c>
      <c r="O13" s="299"/>
      <c r="P13" s="312">
        <v>7</v>
      </c>
    </row>
    <row r="14" spans="5:16">
      <c r="L14" s="311">
        <f>L17/30*7*30</f>
        <v>74864275.5</v>
      </c>
      <c r="M14" s="299"/>
      <c r="N14" s="299" t="s">
        <v>539</v>
      </c>
      <c r="O14" s="299"/>
      <c r="P14" s="312">
        <v>8</v>
      </c>
    </row>
    <row r="15" spans="5:16" ht="42">
      <c r="L15" s="318">
        <f>L14/30*23</f>
        <v>57395944.550000004</v>
      </c>
      <c r="M15" s="299"/>
      <c r="N15" s="300" t="s">
        <v>545</v>
      </c>
      <c r="O15" s="299"/>
      <c r="P15" s="312">
        <v>9</v>
      </c>
    </row>
    <row r="16" spans="5:16" s="530" customFormat="1">
      <c r="L16" s="532">
        <f>309997*1.15</f>
        <v>356496.55</v>
      </c>
      <c r="M16" s="299"/>
      <c r="N16" s="300" t="s">
        <v>787</v>
      </c>
      <c r="O16" s="299"/>
      <c r="P16" s="312">
        <v>10</v>
      </c>
    </row>
    <row r="17" spans="12:16" ht="21.75" thickBot="1">
      <c r="L17" s="533">
        <f>L16*30</f>
        <v>10694896.5</v>
      </c>
      <c r="M17" s="313"/>
      <c r="N17" s="313" t="s">
        <v>538</v>
      </c>
      <c r="O17" s="313"/>
      <c r="P17" s="314">
        <v>11</v>
      </c>
    </row>
    <row r="18" spans="12:16" ht="22.5" thickTop="1" thickBot="1"/>
    <row r="19" spans="12:16" ht="22.5" thickTop="1" thickBot="1">
      <c r="L19" s="319">
        <v>2</v>
      </c>
      <c r="M19" s="791" t="s">
        <v>546</v>
      </c>
      <c r="N19" s="792"/>
      <c r="O19" s="792"/>
      <c r="P19" s="793"/>
    </row>
    <row r="20" spans="12:16" ht="22.5" thickTop="1" thickBot="1">
      <c r="L20" s="317">
        <f>0.1</f>
        <v>0.1</v>
      </c>
      <c r="M20" s="790" t="s">
        <v>543</v>
      </c>
      <c r="N20" s="790"/>
      <c r="O20" s="790"/>
      <c r="P20" s="790"/>
    </row>
    <row r="21" spans="12:16" ht="22.5" thickTop="1" thickBot="1">
      <c r="L21" s="537">
        <v>0</v>
      </c>
      <c r="M21" s="794" t="s">
        <v>812</v>
      </c>
      <c r="N21" s="795"/>
      <c r="O21" s="795"/>
      <c r="P21" s="796"/>
    </row>
    <row r="22" spans="12:16" ht="22.5" thickTop="1" thickBot="1">
      <c r="L22" s="537"/>
      <c r="M22" s="797" t="s">
        <v>814</v>
      </c>
      <c r="N22" s="798"/>
      <c r="O22" s="798"/>
      <c r="P22" s="799"/>
    </row>
    <row r="23" spans="12:16" ht="22.5" thickTop="1" thickBot="1">
      <c r="L23" s="821">
        <v>1.2</v>
      </c>
      <c r="M23" s="790" t="s">
        <v>813</v>
      </c>
      <c r="N23" s="790"/>
      <c r="O23" s="790"/>
      <c r="P23" s="790"/>
    </row>
    <row r="24" spans="12:16" ht="21.75" thickTop="1"/>
  </sheetData>
  <mergeCells count="6">
    <mergeCell ref="M23:P23"/>
    <mergeCell ref="L3:P3"/>
    <mergeCell ref="M19:P19"/>
    <mergeCell ref="M20:P20"/>
    <mergeCell ref="M21:P21"/>
    <mergeCell ref="M22:P22"/>
  </mergeCells>
  <hyperlinks>
    <hyperlink ref="L3:P3" r:id="rId1" location="'فهرست مطالب'!A1" display="سال بودجه سایر مزایای پرسنلی "/>
  </hyperlinks>
  <pageMargins left="0.7" right="0.7" top="0.75" bottom="0.75" header="0.3" footer="0.3"/>
  <pageSetup paperSize="9" orientation="portrait" horizontalDpi="300" verticalDpi="300"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F0"/>
  </sheetPr>
  <dimension ref="C2:AA28"/>
  <sheetViews>
    <sheetView topLeftCell="N2" zoomScale="110" zoomScaleNormal="110" workbookViewId="0">
      <selection activeCell="V6" sqref="V6"/>
    </sheetView>
  </sheetViews>
  <sheetFormatPr defaultColWidth="9.140625" defaultRowHeight="23.25"/>
  <cols>
    <col min="1" max="1" width="9.140625" style="24"/>
    <col min="2" max="2" width="9.140625" style="24" customWidth="1"/>
    <col min="3" max="3" width="23.140625" style="24" bestFit="1" customWidth="1"/>
    <col min="4" max="4" width="25" style="24" bestFit="1" customWidth="1"/>
    <col min="5" max="16" width="21.28515625" style="24" bestFit="1" customWidth="1"/>
    <col min="17" max="17" width="35.7109375" style="24" bestFit="1" customWidth="1"/>
    <col min="18" max="18" width="6.7109375" style="182" customWidth="1"/>
    <col min="19" max="19" width="15.140625" style="24" bestFit="1" customWidth="1"/>
    <col min="20" max="20" width="25.140625" style="24" bestFit="1" customWidth="1"/>
    <col min="21" max="16384" width="9.140625" style="24"/>
  </cols>
  <sheetData>
    <row r="2" spans="3:27">
      <c r="D2" s="603" t="s">
        <v>454</v>
      </c>
      <c r="E2" s="603"/>
      <c r="F2" s="603"/>
      <c r="G2" s="603"/>
      <c r="H2" s="603"/>
      <c r="I2" s="603"/>
      <c r="J2" s="603"/>
      <c r="K2" s="603"/>
      <c r="L2" s="603"/>
      <c r="M2" s="603"/>
      <c r="N2" s="603"/>
      <c r="O2" s="603"/>
      <c r="P2" s="603"/>
      <c r="Q2" s="603"/>
      <c r="R2" s="181"/>
    </row>
    <row r="3" spans="3:27">
      <c r="D3" s="604"/>
      <c r="E3" s="604"/>
      <c r="F3" s="604"/>
      <c r="G3" s="604"/>
      <c r="H3" s="604"/>
      <c r="I3" s="604"/>
      <c r="J3" s="604"/>
      <c r="K3" s="604"/>
      <c r="L3" s="604"/>
      <c r="M3" s="604"/>
      <c r="N3" s="604"/>
      <c r="O3" s="604"/>
      <c r="P3" s="604"/>
      <c r="Q3" s="604"/>
      <c r="R3" s="181"/>
    </row>
    <row r="4" spans="3:27" ht="24" thickBot="1">
      <c r="D4" s="200"/>
      <c r="E4" s="170">
        <v>1</v>
      </c>
      <c r="F4" s="170">
        <v>1</v>
      </c>
      <c r="G4" s="170">
        <v>1</v>
      </c>
      <c r="H4" s="170">
        <v>1</v>
      </c>
      <c r="I4" s="170">
        <v>1</v>
      </c>
      <c r="J4" s="170">
        <v>1</v>
      </c>
      <c r="K4" s="170">
        <v>1</v>
      </c>
      <c r="L4" s="170">
        <v>0.8</v>
      </c>
      <c r="M4" s="170">
        <v>0.8</v>
      </c>
      <c r="N4" s="170">
        <v>0.8</v>
      </c>
      <c r="O4" s="170">
        <v>0.8</v>
      </c>
      <c r="P4" s="201">
        <v>0.8</v>
      </c>
      <c r="Q4" s="200" t="s">
        <v>353</v>
      </c>
      <c r="R4" s="181"/>
      <c r="S4" s="243"/>
      <c r="T4" s="243"/>
    </row>
    <row r="5" spans="3:27" ht="24.75" thickTop="1" thickBot="1">
      <c r="D5" s="200"/>
      <c r="E5" s="170">
        <v>1</v>
      </c>
      <c r="F5" s="170">
        <v>1</v>
      </c>
      <c r="G5" s="170">
        <v>1</v>
      </c>
      <c r="H5" s="170">
        <v>1</v>
      </c>
      <c r="I5" s="170">
        <v>1</v>
      </c>
      <c r="J5" s="170">
        <v>1</v>
      </c>
      <c r="K5" s="170">
        <v>1</v>
      </c>
      <c r="L5" s="170">
        <v>1</v>
      </c>
      <c r="M5" s="170">
        <v>1</v>
      </c>
      <c r="N5" s="170">
        <v>1</v>
      </c>
      <c r="O5" s="170">
        <v>1</v>
      </c>
      <c r="P5" s="201">
        <v>1</v>
      </c>
      <c r="Q5" s="200" t="s">
        <v>352</v>
      </c>
      <c r="R5" s="181"/>
      <c r="S5" s="124">
        <v>1000</v>
      </c>
      <c r="T5" s="124" t="s">
        <v>691</v>
      </c>
    </row>
    <row r="6" spans="3:27" ht="27" customHeight="1" thickTop="1" thickBot="1">
      <c r="C6" s="123"/>
      <c r="D6" s="167" t="s">
        <v>726</v>
      </c>
      <c r="E6" s="167" t="s">
        <v>11</v>
      </c>
      <c r="F6" s="167" t="s">
        <v>10</v>
      </c>
      <c r="G6" s="167" t="s">
        <v>9</v>
      </c>
      <c r="H6" s="167" t="s">
        <v>8</v>
      </c>
      <c r="I6" s="167" t="s">
        <v>7</v>
      </c>
      <c r="J6" s="167" t="s">
        <v>6</v>
      </c>
      <c r="K6" s="167" t="s">
        <v>5</v>
      </c>
      <c r="L6" s="167" t="s">
        <v>4</v>
      </c>
      <c r="M6" s="167" t="s">
        <v>3</v>
      </c>
      <c r="N6" s="167" t="s">
        <v>2</v>
      </c>
      <c r="O6" s="167" t="s">
        <v>1</v>
      </c>
      <c r="P6" s="168" t="s">
        <v>0</v>
      </c>
      <c r="Q6" s="203" t="s">
        <v>788</v>
      </c>
      <c r="R6" s="181"/>
      <c r="S6" s="124">
        <v>2500000</v>
      </c>
      <c r="T6" s="124" t="s">
        <v>451</v>
      </c>
      <c r="AA6" s="46"/>
    </row>
    <row r="7" spans="3:27" ht="24.75" customHeight="1" thickTop="1" thickBot="1">
      <c r="C7" s="119"/>
      <c r="D7" s="46">
        <f>SUM(E7:Q7)</f>
        <v>11000</v>
      </c>
      <c r="E7" s="46">
        <f t="shared" ref="E7:P7" si="0">$S5*E4</f>
        <v>1000</v>
      </c>
      <c r="F7" s="46">
        <f t="shared" si="0"/>
        <v>1000</v>
      </c>
      <c r="G7" s="46">
        <f t="shared" si="0"/>
        <v>1000</v>
      </c>
      <c r="H7" s="46">
        <f t="shared" si="0"/>
        <v>1000</v>
      </c>
      <c r="I7" s="46">
        <f t="shared" si="0"/>
        <v>1000</v>
      </c>
      <c r="J7" s="46">
        <f t="shared" si="0"/>
        <v>1000</v>
      </c>
      <c r="K7" s="46">
        <f t="shared" si="0"/>
        <v>1000</v>
      </c>
      <c r="L7" s="46">
        <f t="shared" si="0"/>
        <v>800</v>
      </c>
      <c r="M7" s="46">
        <f t="shared" si="0"/>
        <v>800</v>
      </c>
      <c r="N7" s="46">
        <f t="shared" si="0"/>
        <v>800</v>
      </c>
      <c r="O7" s="46">
        <f t="shared" si="0"/>
        <v>800</v>
      </c>
      <c r="P7" s="46">
        <f t="shared" si="0"/>
        <v>800</v>
      </c>
      <c r="Q7" s="204" t="s">
        <v>13</v>
      </c>
      <c r="R7" s="181"/>
      <c r="S7" s="244"/>
      <c r="T7" s="244"/>
    </row>
    <row r="8" spans="3:27" ht="24.75" customHeight="1" thickBot="1">
      <c r="C8" s="119"/>
      <c r="D8" s="46">
        <f>D9/D7</f>
        <v>2500000</v>
      </c>
      <c r="E8" s="202">
        <f t="shared" ref="E8:P8" si="1">$S6*E5</f>
        <v>2500000</v>
      </c>
      <c r="F8" s="202">
        <f t="shared" si="1"/>
        <v>2500000</v>
      </c>
      <c r="G8" s="202">
        <f t="shared" si="1"/>
        <v>2500000</v>
      </c>
      <c r="H8" s="202">
        <f t="shared" si="1"/>
        <v>2500000</v>
      </c>
      <c r="I8" s="202">
        <f t="shared" si="1"/>
        <v>2500000</v>
      </c>
      <c r="J8" s="202">
        <f t="shared" si="1"/>
        <v>2500000</v>
      </c>
      <c r="K8" s="202">
        <f t="shared" si="1"/>
        <v>2500000</v>
      </c>
      <c r="L8" s="202">
        <f t="shared" si="1"/>
        <v>2500000</v>
      </c>
      <c r="M8" s="202">
        <f t="shared" si="1"/>
        <v>2500000</v>
      </c>
      <c r="N8" s="202">
        <f t="shared" si="1"/>
        <v>2500000</v>
      </c>
      <c r="O8" s="202">
        <f t="shared" si="1"/>
        <v>2500000</v>
      </c>
      <c r="P8" s="202">
        <f t="shared" si="1"/>
        <v>2500000</v>
      </c>
      <c r="Q8" s="204" t="s">
        <v>14</v>
      </c>
      <c r="R8" s="181"/>
      <c r="S8" s="193"/>
      <c r="T8" s="193"/>
    </row>
    <row r="9" spans="3:27" ht="29.25" customHeight="1" thickBot="1">
      <c r="C9" s="119"/>
      <c r="D9" s="205">
        <f>SUM(E9:Q9)</f>
        <v>27500000000</v>
      </c>
      <c r="E9" s="205">
        <f t="shared" ref="E9:O9" si="2">E7*E8</f>
        <v>2500000000</v>
      </c>
      <c r="F9" s="205">
        <f t="shared" si="2"/>
        <v>2500000000</v>
      </c>
      <c r="G9" s="205">
        <f t="shared" si="2"/>
        <v>2500000000</v>
      </c>
      <c r="H9" s="205">
        <f t="shared" si="2"/>
        <v>2500000000</v>
      </c>
      <c r="I9" s="205">
        <f t="shared" si="2"/>
        <v>2500000000</v>
      </c>
      <c r="J9" s="205">
        <f t="shared" si="2"/>
        <v>2500000000</v>
      </c>
      <c r="K9" s="205">
        <f t="shared" si="2"/>
        <v>2500000000</v>
      </c>
      <c r="L9" s="205">
        <f t="shared" si="2"/>
        <v>2000000000</v>
      </c>
      <c r="M9" s="205">
        <f t="shared" si="2"/>
        <v>2000000000</v>
      </c>
      <c r="N9" s="205">
        <f t="shared" si="2"/>
        <v>2000000000</v>
      </c>
      <c r="O9" s="205">
        <f t="shared" si="2"/>
        <v>2000000000</v>
      </c>
      <c r="P9" s="206">
        <f>P7*P8</f>
        <v>2000000000</v>
      </c>
      <c r="Q9" s="207" t="s">
        <v>386</v>
      </c>
      <c r="R9" s="181"/>
      <c r="S9" s="193"/>
      <c r="T9" s="193"/>
    </row>
    <row r="10" spans="3:27" ht="29.25" customHeight="1" thickBot="1">
      <c r="C10" s="109"/>
      <c r="D10" s="241">
        <f>D11/D12*100</f>
        <v>3.7735849056603774</v>
      </c>
      <c r="E10" s="241">
        <v>20</v>
      </c>
      <c r="F10" s="241"/>
      <c r="G10" s="241"/>
      <c r="H10" s="241"/>
      <c r="I10" s="241"/>
      <c r="J10" s="241">
        <v>20</v>
      </c>
      <c r="K10" s="241"/>
      <c r="L10" s="241"/>
      <c r="M10" s="241"/>
      <c r="N10" s="241"/>
      <c r="O10" s="241"/>
      <c r="P10" s="242"/>
      <c r="Q10" s="121" t="s">
        <v>452</v>
      </c>
      <c r="R10" s="181"/>
      <c r="S10" s="193"/>
      <c r="T10" s="193"/>
    </row>
    <row r="11" spans="3:27" ht="29.25" customHeight="1" thickBot="1">
      <c r="C11" s="109"/>
      <c r="D11" s="46">
        <f>SUM(E11:P11)</f>
        <v>1000000000</v>
      </c>
      <c r="E11" s="46">
        <f t="shared" ref="E11:O11" si="3">E9*E10%</f>
        <v>500000000</v>
      </c>
      <c r="F11" s="46">
        <f t="shared" si="3"/>
        <v>0</v>
      </c>
      <c r="G11" s="46">
        <f t="shared" si="3"/>
        <v>0</v>
      </c>
      <c r="H11" s="46">
        <f t="shared" si="3"/>
        <v>0</v>
      </c>
      <c r="I11" s="46">
        <f t="shared" si="3"/>
        <v>0</v>
      </c>
      <c r="J11" s="46">
        <f t="shared" si="3"/>
        <v>500000000</v>
      </c>
      <c r="K11" s="46">
        <f t="shared" si="3"/>
        <v>0</v>
      </c>
      <c r="L11" s="46">
        <f t="shared" si="3"/>
        <v>0</v>
      </c>
      <c r="M11" s="46">
        <f t="shared" si="3"/>
        <v>0</v>
      </c>
      <c r="N11" s="46">
        <f t="shared" si="3"/>
        <v>0</v>
      </c>
      <c r="O11" s="46">
        <f t="shared" si="3"/>
        <v>0</v>
      </c>
      <c r="P11" s="46">
        <f>P9*P10%</f>
        <v>0</v>
      </c>
      <c r="Q11" s="194" t="s">
        <v>453</v>
      </c>
      <c r="R11" s="181"/>
    </row>
    <row r="12" spans="3:27" ht="29.25" customHeight="1" thickBot="1">
      <c r="C12" s="109"/>
      <c r="D12" s="38">
        <f t="shared" ref="D12:O12" si="4">D9-D11</f>
        <v>26500000000</v>
      </c>
      <c r="E12" s="38">
        <f t="shared" si="4"/>
        <v>2000000000</v>
      </c>
      <c r="F12" s="38">
        <f t="shared" si="4"/>
        <v>2500000000</v>
      </c>
      <c r="G12" s="38">
        <f t="shared" si="4"/>
        <v>2500000000</v>
      </c>
      <c r="H12" s="38">
        <f t="shared" si="4"/>
        <v>2500000000</v>
      </c>
      <c r="I12" s="38">
        <f t="shared" si="4"/>
        <v>2500000000</v>
      </c>
      <c r="J12" s="38">
        <f t="shared" si="4"/>
        <v>2000000000</v>
      </c>
      <c r="K12" s="38">
        <f t="shared" si="4"/>
        <v>2500000000</v>
      </c>
      <c r="L12" s="38">
        <f t="shared" si="4"/>
        <v>2000000000</v>
      </c>
      <c r="M12" s="38">
        <f t="shared" si="4"/>
        <v>2000000000</v>
      </c>
      <c r="N12" s="38">
        <f t="shared" si="4"/>
        <v>2000000000</v>
      </c>
      <c r="O12" s="38">
        <f t="shared" si="4"/>
        <v>2000000000</v>
      </c>
      <c r="P12" s="38">
        <f>P9-P11</f>
        <v>2000000000</v>
      </c>
      <c r="Q12" s="39" t="s">
        <v>385</v>
      </c>
      <c r="R12" s="181"/>
      <c r="S12" s="193"/>
      <c r="T12" s="193"/>
    </row>
    <row r="13" spans="3:27" ht="29.25" customHeight="1" thickBot="1"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09"/>
      <c r="P13" s="109"/>
    </row>
    <row r="14" spans="3:27" ht="29.25" customHeight="1" thickTop="1" thickBot="1">
      <c r="C14" s="110" t="s">
        <v>301</v>
      </c>
      <c r="D14" s="110" t="str">
        <f t="shared" ref="D14:O14" si="5">D6</f>
        <v>جمع فروش سال 97</v>
      </c>
      <c r="E14" s="110" t="str">
        <f t="shared" si="5"/>
        <v xml:space="preserve">اسفند </v>
      </c>
      <c r="F14" s="110" t="str">
        <f t="shared" si="5"/>
        <v>بهمن</v>
      </c>
      <c r="G14" s="110" t="str">
        <f t="shared" si="5"/>
        <v>دی</v>
      </c>
      <c r="H14" s="110" t="str">
        <f t="shared" si="5"/>
        <v>اذر</v>
      </c>
      <c r="I14" s="110" t="str">
        <f t="shared" si="5"/>
        <v>آبان</v>
      </c>
      <c r="J14" s="110" t="str">
        <f t="shared" si="5"/>
        <v>مهر</v>
      </c>
      <c r="K14" s="110" t="str">
        <f t="shared" si="5"/>
        <v>شهریور</v>
      </c>
      <c r="L14" s="110" t="str">
        <f t="shared" si="5"/>
        <v>مرداد</v>
      </c>
      <c r="M14" s="110" t="str">
        <f t="shared" si="5"/>
        <v xml:space="preserve">تیر </v>
      </c>
      <c r="N14" s="110" t="str">
        <f t="shared" si="5"/>
        <v>خرداد</v>
      </c>
      <c r="O14" s="110" t="str">
        <f t="shared" si="5"/>
        <v>اردیبهشت</v>
      </c>
      <c r="P14" s="110" t="str">
        <f>P6</f>
        <v xml:space="preserve">فروردین </v>
      </c>
      <c r="Q14" s="110" t="s">
        <v>300</v>
      </c>
      <c r="R14" s="181"/>
    </row>
    <row r="15" spans="3:27" ht="24.95" customHeight="1" thickTop="1" thickBot="1">
      <c r="C15" s="120"/>
      <c r="D15" s="120">
        <f>SUM(E15:P15)</f>
        <v>2000000000</v>
      </c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>
        <f>P$12*20%</f>
        <v>400000000</v>
      </c>
      <c r="P15" s="120">
        <f>P$12*80%</f>
        <v>1600000000</v>
      </c>
      <c r="Q15" s="120" t="s">
        <v>16</v>
      </c>
      <c r="R15" s="181"/>
    </row>
    <row r="16" spans="3:27" ht="24.95" customHeight="1" thickBot="1">
      <c r="C16" s="121"/>
      <c r="D16" s="120">
        <f t="shared" ref="D16:D26" si="6">SUM(E16:P16)</f>
        <v>2000000000</v>
      </c>
      <c r="E16" s="121"/>
      <c r="F16" s="121"/>
      <c r="G16" s="121"/>
      <c r="H16" s="121"/>
      <c r="I16" s="121"/>
      <c r="J16" s="121"/>
      <c r="K16" s="121"/>
      <c r="L16" s="121"/>
      <c r="M16" s="121"/>
      <c r="N16" s="120">
        <f>O$12*20%</f>
        <v>400000000</v>
      </c>
      <c r="O16" s="120">
        <f>O$12*80%</f>
        <v>1600000000</v>
      </c>
      <c r="P16" s="121"/>
      <c r="Q16" s="121" t="s">
        <v>17</v>
      </c>
      <c r="R16" s="181"/>
    </row>
    <row r="17" spans="3:18" ht="24.95" customHeight="1" thickBot="1">
      <c r="C17" s="121"/>
      <c r="D17" s="120">
        <f t="shared" si="6"/>
        <v>2000000000</v>
      </c>
      <c r="E17" s="121"/>
      <c r="F17" s="121"/>
      <c r="G17" s="121"/>
      <c r="H17" s="121"/>
      <c r="I17" s="121"/>
      <c r="J17" s="121"/>
      <c r="K17" s="121"/>
      <c r="L17" s="121"/>
      <c r="M17" s="120">
        <f>N$12*20%</f>
        <v>400000000</v>
      </c>
      <c r="N17" s="120">
        <f>N$12*80%</f>
        <v>1600000000</v>
      </c>
      <c r="O17" s="121"/>
      <c r="P17" s="121"/>
      <c r="Q17" s="121" t="s">
        <v>18</v>
      </c>
      <c r="R17" s="181"/>
    </row>
    <row r="18" spans="3:18" ht="24.95" customHeight="1" thickBot="1">
      <c r="C18" s="121"/>
      <c r="D18" s="120">
        <f t="shared" si="6"/>
        <v>2000000000</v>
      </c>
      <c r="E18" s="121"/>
      <c r="F18" s="121"/>
      <c r="G18" s="121"/>
      <c r="H18" s="121"/>
      <c r="I18" s="121"/>
      <c r="J18" s="121"/>
      <c r="K18" s="121"/>
      <c r="L18" s="120">
        <f>M$12*20%</f>
        <v>400000000</v>
      </c>
      <c r="M18" s="120">
        <f>M$12*80%</f>
        <v>1600000000</v>
      </c>
      <c r="N18" s="121"/>
      <c r="O18" s="121"/>
      <c r="P18" s="121"/>
      <c r="Q18" s="121" t="s">
        <v>19</v>
      </c>
      <c r="R18" s="181"/>
    </row>
    <row r="19" spans="3:18" ht="24.95" customHeight="1" thickBot="1">
      <c r="C19" s="121"/>
      <c r="D19" s="120">
        <f t="shared" si="6"/>
        <v>2000000000</v>
      </c>
      <c r="E19" s="121"/>
      <c r="F19" s="121"/>
      <c r="G19" s="121"/>
      <c r="H19" s="121"/>
      <c r="I19" s="121"/>
      <c r="J19" s="121"/>
      <c r="K19" s="120">
        <f>L$12*20%</f>
        <v>400000000</v>
      </c>
      <c r="L19" s="120">
        <f>L$12*80%</f>
        <v>1600000000</v>
      </c>
      <c r="M19" s="122"/>
      <c r="N19" s="122"/>
      <c r="O19" s="122"/>
      <c r="P19" s="122"/>
      <c r="Q19" s="121" t="s">
        <v>20</v>
      </c>
      <c r="R19" s="181"/>
    </row>
    <row r="20" spans="3:18" ht="24.95" customHeight="1" thickBot="1">
      <c r="C20" s="121"/>
      <c r="D20" s="120">
        <f t="shared" si="6"/>
        <v>2500000000</v>
      </c>
      <c r="E20" s="121"/>
      <c r="F20" s="121"/>
      <c r="G20" s="121"/>
      <c r="H20" s="121"/>
      <c r="I20" s="121"/>
      <c r="J20" s="120">
        <f>K$12*20%</f>
        <v>500000000</v>
      </c>
      <c r="K20" s="120">
        <f>K$12*80%</f>
        <v>2000000000</v>
      </c>
      <c r="L20" s="121"/>
      <c r="M20" s="121"/>
      <c r="N20" s="121"/>
      <c r="O20" s="121"/>
      <c r="P20" s="121"/>
      <c r="Q20" s="121" t="s">
        <v>21</v>
      </c>
      <c r="R20" s="181"/>
    </row>
    <row r="21" spans="3:18" ht="24.95" customHeight="1" thickBot="1">
      <c r="C21" s="121"/>
      <c r="D21" s="120">
        <f t="shared" si="6"/>
        <v>2000000000</v>
      </c>
      <c r="E21" s="121"/>
      <c r="F21" s="121"/>
      <c r="G21" s="121"/>
      <c r="H21" s="121"/>
      <c r="I21" s="120">
        <f>J$12*20%</f>
        <v>400000000</v>
      </c>
      <c r="J21" s="120">
        <f>J$12*80%</f>
        <v>1600000000</v>
      </c>
      <c r="K21" s="121"/>
      <c r="L21" s="121"/>
      <c r="M21" s="121"/>
      <c r="N21" s="121"/>
      <c r="O21" s="121"/>
      <c r="P21" s="121"/>
      <c r="Q21" s="121" t="s">
        <v>22</v>
      </c>
      <c r="R21" s="181"/>
    </row>
    <row r="22" spans="3:18" ht="24.95" customHeight="1" thickBot="1">
      <c r="C22" s="121"/>
      <c r="D22" s="120">
        <f t="shared" si="6"/>
        <v>2500000000</v>
      </c>
      <c r="E22" s="121"/>
      <c r="F22" s="121"/>
      <c r="G22" s="121"/>
      <c r="H22" s="120">
        <f>I$12*20%</f>
        <v>500000000</v>
      </c>
      <c r="I22" s="120">
        <f>I$12*80%</f>
        <v>2000000000</v>
      </c>
      <c r="J22" s="121"/>
      <c r="K22" s="121"/>
      <c r="L22" s="121"/>
      <c r="M22" s="121"/>
      <c r="N22" s="121"/>
      <c r="O22" s="121"/>
      <c r="P22" s="121"/>
      <c r="Q22" s="121" t="s">
        <v>23</v>
      </c>
      <c r="R22" s="181"/>
    </row>
    <row r="23" spans="3:18" ht="24.95" customHeight="1" thickBot="1">
      <c r="C23" s="121"/>
      <c r="D23" s="120">
        <f t="shared" si="6"/>
        <v>2500000000</v>
      </c>
      <c r="E23" s="121"/>
      <c r="F23" s="121"/>
      <c r="G23" s="120">
        <f>H$12*20%</f>
        <v>500000000</v>
      </c>
      <c r="H23" s="120">
        <f>H$12*80%</f>
        <v>2000000000</v>
      </c>
      <c r="I23" s="122"/>
      <c r="J23" s="122"/>
      <c r="K23" s="122"/>
      <c r="L23" s="122"/>
      <c r="M23" s="122"/>
      <c r="N23" s="122"/>
      <c r="O23" s="122"/>
      <c r="P23" s="122"/>
      <c r="Q23" s="121" t="s">
        <v>24</v>
      </c>
      <c r="R23" s="181"/>
    </row>
    <row r="24" spans="3:18" ht="24.95" customHeight="1" thickBot="1">
      <c r="C24" s="121"/>
      <c r="D24" s="120">
        <f t="shared" si="6"/>
        <v>2500000000</v>
      </c>
      <c r="E24" s="121"/>
      <c r="F24" s="120">
        <f>G$12*20%</f>
        <v>500000000</v>
      </c>
      <c r="G24" s="120">
        <f>G$12*80%</f>
        <v>2000000000</v>
      </c>
      <c r="H24" s="121"/>
      <c r="I24" s="121"/>
      <c r="J24" s="121"/>
      <c r="K24" s="121"/>
      <c r="L24" s="121"/>
      <c r="M24" s="121"/>
      <c r="N24" s="121"/>
      <c r="O24" s="121"/>
      <c r="P24" s="121"/>
      <c r="Q24" s="121" t="s">
        <v>25</v>
      </c>
      <c r="R24" s="181"/>
    </row>
    <row r="25" spans="3:18" ht="24.95" customHeight="1" thickBot="1">
      <c r="C25" s="121"/>
      <c r="D25" s="120">
        <f t="shared" si="6"/>
        <v>2500000000</v>
      </c>
      <c r="E25" s="120">
        <f>F$12*20%</f>
        <v>500000000</v>
      </c>
      <c r="F25" s="120">
        <f>F$12*80%</f>
        <v>2000000000</v>
      </c>
      <c r="G25" s="121"/>
      <c r="H25" s="121"/>
      <c r="I25" s="121"/>
      <c r="J25" s="121"/>
      <c r="K25" s="121"/>
      <c r="L25" s="121"/>
      <c r="M25" s="121"/>
      <c r="N25" s="121"/>
      <c r="O25" s="121"/>
      <c r="P25" s="121"/>
      <c r="Q25" s="121" t="s">
        <v>26</v>
      </c>
      <c r="R25" s="181"/>
    </row>
    <row r="26" spans="3:18" ht="24.95" customHeight="1" thickBot="1">
      <c r="C26" s="121">
        <f>E12*20%</f>
        <v>400000000</v>
      </c>
      <c r="D26" s="120">
        <f t="shared" si="6"/>
        <v>1600000000</v>
      </c>
      <c r="E26" s="121">
        <f>E12*80%</f>
        <v>1600000000</v>
      </c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 t="s">
        <v>27</v>
      </c>
      <c r="R26" s="181"/>
    </row>
    <row r="27" spans="3:18" ht="50.25" customHeight="1" thickBot="1">
      <c r="C27" s="125">
        <f t="shared" ref="C27:O27" si="7">SUM(C15:C26)</f>
        <v>400000000</v>
      </c>
      <c r="D27" s="125">
        <f t="shared" si="7"/>
        <v>26100000000</v>
      </c>
      <c r="E27" s="125">
        <f t="shared" si="7"/>
        <v>2100000000</v>
      </c>
      <c r="F27" s="125">
        <f t="shared" si="7"/>
        <v>2500000000</v>
      </c>
      <c r="G27" s="125">
        <f t="shared" si="7"/>
        <v>2500000000</v>
      </c>
      <c r="H27" s="125">
        <f t="shared" si="7"/>
        <v>2500000000</v>
      </c>
      <c r="I27" s="125">
        <f t="shared" si="7"/>
        <v>2400000000</v>
      </c>
      <c r="J27" s="125">
        <f t="shared" si="7"/>
        <v>2100000000</v>
      </c>
      <c r="K27" s="125">
        <f t="shared" si="7"/>
        <v>2400000000</v>
      </c>
      <c r="L27" s="125">
        <f t="shared" si="7"/>
        <v>2000000000</v>
      </c>
      <c r="M27" s="125">
        <f t="shared" si="7"/>
        <v>2000000000</v>
      </c>
      <c r="N27" s="125">
        <f t="shared" si="7"/>
        <v>2000000000</v>
      </c>
      <c r="O27" s="125">
        <f t="shared" si="7"/>
        <v>2000000000</v>
      </c>
      <c r="P27" s="125">
        <f>SUM(P15:P26)</f>
        <v>1600000000</v>
      </c>
      <c r="Q27" s="126" t="s">
        <v>28</v>
      </c>
      <c r="R27" s="109"/>
    </row>
    <row r="28" spans="3:18" ht="30" customHeight="1" thickBot="1">
      <c r="C28" s="127" t="s">
        <v>302</v>
      </c>
      <c r="D28" s="597" t="s">
        <v>303</v>
      </c>
      <c r="E28" s="598"/>
      <c r="F28" s="598"/>
      <c r="G28" s="598"/>
      <c r="H28" s="598"/>
      <c r="I28" s="598"/>
      <c r="J28" s="598"/>
      <c r="K28" s="598"/>
      <c r="L28" s="598"/>
      <c r="M28" s="598"/>
      <c r="N28" s="598"/>
      <c r="O28" s="598"/>
      <c r="P28" s="598"/>
      <c r="Q28" s="599"/>
      <c r="R28" s="109"/>
    </row>
  </sheetData>
  <mergeCells count="2">
    <mergeCell ref="D2:Q3"/>
    <mergeCell ref="D28:Q28"/>
  </mergeCells>
  <hyperlinks>
    <hyperlink ref="D2:Q3" r:id="rId1" location="'فهرست مطالب'!A1" display="فروش محصول - شلوار "/>
  </hyperlink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I1:P19"/>
  <sheetViews>
    <sheetView topLeftCell="D1" workbookViewId="0">
      <selection activeCell="G6" sqref="G6"/>
    </sheetView>
  </sheetViews>
  <sheetFormatPr defaultRowHeight="21"/>
  <cols>
    <col min="1" max="7" width="9.140625" style="326"/>
    <col min="8" max="8" width="14" style="326" bestFit="1" customWidth="1"/>
    <col min="9" max="10" width="9.140625" style="326"/>
    <col min="11" max="11" width="25.140625" style="326" bestFit="1" customWidth="1"/>
    <col min="12" max="12" width="9.140625" style="326"/>
    <col min="13" max="13" width="25.140625" style="326" bestFit="1" customWidth="1"/>
    <col min="14" max="14" width="9.28515625" style="326" bestFit="1" customWidth="1"/>
    <col min="15" max="15" width="39.7109375" style="326" bestFit="1" customWidth="1"/>
    <col min="16" max="16384" width="9.140625" style="326"/>
  </cols>
  <sheetData>
    <row r="1" spans="9:16" ht="21.75" thickBot="1"/>
    <row r="2" spans="9:16" ht="34.5" customHeight="1" thickTop="1" thickBot="1">
      <c r="I2" s="800" t="s">
        <v>597</v>
      </c>
      <c r="J2" s="801"/>
      <c r="K2" s="801"/>
      <c r="L2" s="801"/>
      <c r="M2" s="801"/>
      <c r="N2" s="801"/>
      <c r="O2" s="801"/>
      <c r="P2" s="802"/>
    </row>
    <row r="3" spans="9:16" ht="21.75" thickTop="1">
      <c r="I3" s="327"/>
      <c r="J3" s="328"/>
      <c r="K3" s="328"/>
      <c r="L3" s="328"/>
      <c r="M3" s="328"/>
      <c r="N3" s="328"/>
      <c r="O3" s="328"/>
      <c r="P3" s="329"/>
    </row>
    <row r="4" spans="9:16">
      <c r="I4" s="330"/>
      <c r="J4" s="331"/>
      <c r="K4" s="332" t="s">
        <v>578</v>
      </c>
      <c r="L4" s="331"/>
      <c r="M4" s="332" t="s">
        <v>577</v>
      </c>
      <c r="N4" s="331"/>
      <c r="O4" s="332" t="s">
        <v>580</v>
      </c>
      <c r="P4" s="333"/>
    </row>
    <row r="5" spans="9:16">
      <c r="I5" s="330"/>
      <c r="J5" s="331"/>
      <c r="K5" s="326">
        <f>SUM(K6:K8)</f>
        <v>3488389500</v>
      </c>
      <c r="L5" s="299"/>
      <c r="M5" s="326">
        <f>SUM(M6:M8)</f>
        <v>2105000000</v>
      </c>
      <c r="N5" s="331"/>
      <c r="O5" s="334" t="s">
        <v>576</v>
      </c>
      <c r="P5" s="333"/>
    </row>
    <row r="6" spans="9:16">
      <c r="I6" s="330"/>
      <c r="J6" s="331"/>
      <c r="K6" s="539">
        <f>'گردش توليد و مواد ( A)'!D44</f>
        <v>2537424000</v>
      </c>
      <c r="L6" s="539"/>
      <c r="M6" s="539">
        <f>'اطاعات تفصیلی سال قبل'!S31+'اطاعات تفصیلی سال قبل'!S32</f>
        <v>1700000000</v>
      </c>
      <c r="N6" s="540"/>
      <c r="O6" s="541" t="s">
        <v>793</v>
      </c>
      <c r="P6" s="333"/>
    </row>
    <row r="7" spans="9:16">
      <c r="I7" s="330"/>
      <c r="J7" s="331"/>
      <c r="K7" s="539">
        <f>'گردش توليد و مواد B'!D44</f>
        <v>484800000</v>
      </c>
      <c r="L7" s="539"/>
      <c r="M7" s="539">
        <v>0</v>
      </c>
      <c r="N7" s="540"/>
      <c r="O7" s="541" t="s">
        <v>794</v>
      </c>
      <c r="P7" s="333"/>
    </row>
    <row r="8" spans="9:16">
      <c r="I8" s="330"/>
      <c r="J8" s="331"/>
      <c r="K8" s="539">
        <f>'گردش توليد و مواد C'!D44</f>
        <v>466165500</v>
      </c>
      <c r="L8" s="539"/>
      <c r="M8" s="539">
        <f>'اطاعات تفصیلی سال قبل'!S33</f>
        <v>405000000</v>
      </c>
      <c r="N8" s="540"/>
      <c r="O8" s="541" t="s">
        <v>795</v>
      </c>
      <c r="P8" s="333"/>
    </row>
    <row r="9" spans="9:16">
      <c r="I9" s="330"/>
      <c r="J9" s="331"/>
      <c r="K9" s="299"/>
      <c r="L9" s="299"/>
      <c r="M9" s="299"/>
      <c r="N9" s="331"/>
      <c r="O9" s="331"/>
      <c r="P9" s="333"/>
    </row>
    <row r="10" spans="9:16">
      <c r="I10" s="330"/>
      <c r="J10" s="331"/>
      <c r="K10" s="299">
        <f>SUM(K11:K13)</f>
        <v>5204140357.1297789</v>
      </c>
      <c r="L10" s="299"/>
      <c r="M10" s="299">
        <f>SUM(M11:M13)</f>
        <v>2850000000</v>
      </c>
      <c r="N10" s="331"/>
      <c r="O10" s="331" t="s">
        <v>796</v>
      </c>
      <c r="P10" s="333"/>
    </row>
    <row r="11" spans="9:16">
      <c r="I11" s="330"/>
      <c r="J11" s="331"/>
      <c r="K11" s="539">
        <f>'گردش قیمت تمام شده - محصولات'!C5</f>
        <v>2770023664.1464977</v>
      </c>
      <c r="L11" s="539"/>
      <c r="M11" s="539">
        <f>'اطاعات تفصیلی سال قبل'!S21</f>
        <v>1700000000</v>
      </c>
      <c r="N11" s="540"/>
      <c r="O11" s="540" t="s">
        <v>790</v>
      </c>
      <c r="P11" s="333"/>
    </row>
    <row r="12" spans="9:16">
      <c r="I12" s="330"/>
      <c r="J12" s="331"/>
      <c r="K12" s="539">
        <f>'گردش قیمت تمام شده - محصولات'!C6</f>
        <v>1436129280.3458879</v>
      </c>
      <c r="L12" s="539"/>
      <c r="M12" s="539">
        <f>'اطاعات تفصیلی سال قبل'!S22</f>
        <v>600000000</v>
      </c>
      <c r="N12" s="540"/>
      <c r="O12" s="540" t="s">
        <v>791</v>
      </c>
      <c r="P12" s="333"/>
    </row>
    <row r="13" spans="9:16">
      <c r="I13" s="330"/>
      <c r="J13" s="331"/>
      <c r="K13" s="539">
        <f>'گردش قیمت تمام شده - محصولات'!C7</f>
        <v>997987412.63739264</v>
      </c>
      <c r="L13" s="539"/>
      <c r="M13" s="539">
        <f>'اطاعات تفصیلی سال قبل'!S23</f>
        <v>550000000</v>
      </c>
      <c r="N13" s="540"/>
      <c r="O13" s="540" t="s">
        <v>792</v>
      </c>
      <c r="P13" s="333"/>
    </row>
    <row r="14" spans="9:16">
      <c r="I14" s="330"/>
      <c r="J14" s="331"/>
      <c r="K14" s="458"/>
      <c r="L14" s="458"/>
      <c r="M14" s="458"/>
      <c r="N14" s="331"/>
      <c r="O14" s="331"/>
      <c r="P14" s="333"/>
    </row>
    <row r="15" spans="9:16">
      <c r="I15" s="330"/>
      <c r="J15" s="331"/>
      <c r="K15" s="495">
        <v>0</v>
      </c>
      <c r="L15" s="495"/>
      <c r="M15" s="495">
        <v>0</v>
      </c>
      <c r="O15" s="326" t="s">
        <v>705</v>
      </c>
      <c r="P15" s="333"/>
    </row>
    <row r="16" spans="9:16">
      <c r="I16" s="330"/>
      <c r="J16" s="331"/>
      <c r="K16" s="299">
        <f>K5+K10+K15</f>
        <v>8692529857.1297798</v>
      </c>
      <c r="L16" s="299"/>
      <c r="M16" s="299">
        <f>M5+M10+M15</f>
        <v>4955000000</v>
      </c>
      <c r="N16" s="331"/>
      <c r="O16" s="542" t="s">
        <v>797</v>
      </c>
      <c r="P16" s="333"/>
    </row>
    <row r="17" spans="9:16">
      <c r="I17" s="330"/>
      <c r="J17" s="331"/>
      <c r="K17" s="335"/>
      <c r="L17" s="331"/>
      <c r="M17" s="331"/>
      <c r="N17" s="331"/>
      <c r="O17" s="331"/>
      <c r="P17" s="333"/>
    </row>
    <row r="18" spans="9:16" ht="21.75" thickBot="1">
      <c r="I18" s="336"/>
      <c r="J18" s="337"/>
      <c r="K18" s="337"/>
      <c r="L18" s="337"/>
      <c r="M18" s="337"/>
      <c r="N18" s="337"/>
      <c r="O18" s="337"/>
      <c r="P18" s="338"/>
    </row>
    <row r="19" spans="9:16" ht="21.75" thickTop="1">
      <c r="K19" s="339"/>
      <c r="M19" s="339"/>
    </row>
  </sheetData>
  <mergeCells count="1">
    <mergeCell ref="I2:P2"/>
  </mergeCells>
  <hyperlinks>
    <hyperlink ref="I2:P2" location="'فهرست مطالب'!A1" display="خلاصه موجودی کالا - پایان سال بودجه"/>
  </hyperlinks>
  <pageMargins left="0.7" right="0.7" top="0.75" bottom="0.75" header="0.3" footer="0.3"/>
  <pageSetup paperSize="9" orientation="portrait" horizontalDpi="300" verticalDpi="300"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G1:K66"/>
  <sheetViews>
    <sheetView topLeftCell="A33" workbookViewId="0">
      <selection activeCell="G46" sqref="G46"/>
    </sheetView>
  </sheetViews>
  <sheetFormatPr defaultColWidth="9.140625" defaultRowHeight="21"/>
  <cols>
    <col min="1" max="6" width="9.140625" style="356"/>
    <col min="7" max="7" width="25.140625" style="353" bestFit="1" customWidth="1"/>
    <col min="8" max="8" width="57" style="354" customWidth="1"/>
    <col min="9" max="9" width="9.140625" style="355"/>
    <col min="10" max="10" width="9.140625" style="356"/>
    <col min="11" max="11" width="123" style="356" customWidth="1"/>
    <col min="12" max="16384" width="9.140625" style="356"/>
  </cols>
  <sheetData>
    <row r="1" spans="7:11">
      <c r="K1" s="357"/>
    </row>
    <row r="2" spans="7:11">
      <c r="K2" s="357"/>
    </row>
    <row r="3" spans="7:11" ht="30" customHeight="1">
      <c r="G3" s="804" t="s">
        <v>694</v>
      </c>
      <c r="H3" s="804"/>
      <c r="K3" s="357"/>
    </row>
    <row r="4" spans="7:11" ht="43.5" customHeight="1">
      <c r="G4" s="805" t="s">
        <v>686</v>
      </c>
      <c r="H4" s="805"/>
      <c r="I4" s="356"/>
    </row>
    <row r="5" spans="7:11" ht="27" thickBot="1">
      <c r="H5" s="358"/>
      <c r="I5" s="356"/>
    </row>
    <row r="6" spans="7:11" ht="27" customHeight="1" thickBot="1">
      <c r="G6" s="343" t="s">
        <v>589</v>
      </c>
      <c r="H6" s="342" t="s">
        <v>626</v>
      </c>
      <c r="I6" s="356"/>
    </row>
    <row r="7" spans="7:11" ht="27.75" thickTop="1" thickBot="1">
      <c r="G7" s="359">
        <f>'سود و زیان '!J18</f>
        <v>41411041904.83149</v>
      </c>
      <c r="H7" s="360" t="s">
        <v>627</v>
      </c>
      <c r="I7" s="356"/>
    </row>
    <row r="8" spans="7:11" ht="27.75" thickTop="1" thickBot="1">
      <c r="G8" s="359">
        <f>'جدول دارایی های ثابت مشهود '!N16</f>
        <v>7099777711.1157951</v>
      </c>
      <c r="H8" s="360" t="s">
        <v>628</v>
      </c>
      <c r="I8" s="356"/>
      <c r="K8" s="361"/>
    </row>
    <row r="9" spans="7:11" ht="27.75" thickTop="1" thickBot="1">
      <c r="G9" s="359">
        <f>ترازنامه!K23-ترازنامه!L23-'دستمزد پروژه '!C14</f>
        <v>2218872000</v>
      </c>
      <c r="H9" s="360" t="s">
        <v>629</v>
      </c>
      <c r="I9" s="356"/>
      <c r="K9" s="362"/>
    </row>
    <row r="10" spans="7:11" ht="27.75" thickTop="1" thickBot="1">
      <c r="G10" s="359">
        <f>-IF(ترازنامه!Q11&gt;ترازنامه!R11,ترازنامه!Q11-ترازنامه!R11,0)</f>
        <v>-1072800000</v>
      </c>
      <c r="H10" s="360" t="s">
        <v>630</v>
      </c>
      <c r="I10" s="356"/>
      <c r="K10" s="362"/>
    </row>
    <row r="11" spans="7:11" ht="27.75" thickTop="1" thickBot="1">
      <c r="G11" s="359">
        <f>IF(ترازنامه!Q11&lt;ترازنامه!R11,ترازنامه!R11-ترازنامه!Q11,0)</f>
        <v>0</v>
      </c>
      <c r="H11" s="360" t="s">
        <v>631</v>
      </c>
      <c r="I11" s="356"/>
    </row>
    <row r="12" spans="7:11" ht="27.75" thickTop="1" thickBot="1">
      <c r="G12" s="359">
        <f>-IF(ترازنامه!Q14&gt;ترازنامه!R14,ترازنامه!Q14-ترازنامه!R14,0)</f>
        <v>-3737529857.1297798</v>
      </c>
      <c r="H12" s="360" t="s">
        <v>632</v>
      </c>
      <c r="I12" s="356"/>
    </row>
    <row r="13" spans="7:11" ht="27.75" thickTop="1" thickBot="1">
      <c r="G13" s="359">
        <f>IF(ترازنامه!Q14&lt;ترازنامه!R14,ترازنامه!R14-ترازنامه!Q14,0)</f>
        <v>0</v>
      </c>
      <c r="H13" s="360" t="s">
        <v>633</v>
      </c>
      <c r="I13" s="356"/>
    </row>
    <row r="14" spans="7:11" ht="27.75" thickTop="1" thickBot="1">
      <c r="G14" s="359">
        <f>-IF(ترازنامه!Q13&gt;ترازنامه!R13,ترازنامه!Q13-ترازنامه!R13,0)</f>
        <v>0</v>
      </c>
      <c r="H14" s="360" t="s">
        <v>634</v>
      </c>
      <c r="I14" s="356"/>
    </row>
    <row r="15" spans="7:11" ht="27.75" thickTop="1" thickBot="1">
      <c r="G15" s="359">
        <f>IF(ترازنامه!Q13&lt;ترازنامه!R13,ترازنامه!R13-ترازنامه!Q13,0)</f>
        <v>0</v>
      </c>
      <c r="H15" s="360" t="s">
        <v>635</v>
      </c>
      <c r="I15" s="356"/>
    </row>
    <row r="16" spans="7:11" ht="27.75" thickTop="1" thickBot="1">
      <c r="G16" s="359">
        <f>IF(ترازنامه!K9&gt;ترازنامه!L9,ترازنامه!K9-ترازنامه!L9,0)</f>
        <v>0</v>
      </c>
      <c r="H16" s="360" t="s">
        <v>636</v>
      </c>
      <c r="I16" s="356"/>
    </row>
    <row r="17" spans="7:8" s="356" customFormat="1" ht="27.75" thickTop="1" thickBot="1">
      <c r="G17" s="359">
        <f>-IF(ترازنامه!L9&gt;ترازنامه!K9,ترازنامه!L9-ترازنامه!K9,0)</f>
        <v>-2486541500</v>
      </c>
      <c r="H17" s="360" t="s">
        <v>637</v>
      </c>
    </row>
    <row r="18" spans="7:8" s="356" customFormat="1" ht="27.75" thickTop="1" thickBot="1">
      <c r="G18" s="359">
        <f>IF(ترازنامه!K10&gt;ترازنامه!L10,ترازنامه!K10-ترازنامه!L10,0)</f>
        <v>0</v>
      </c>
      <c r="H18" s="360" t="s">
        <v>669</v>
      </c>
    </row>
    <row r="19" spans="7:8" s="356" customFormat="1" ht="27.75" thickTop="1" thickBot="1">
      <c r="G19" s="359">
        <f>-IF(ترازنامه!L10&gt;ترازنامه!K10,ترازنامه!L10-ترازنامه!K10,0)</f>
        <v>0</v>
      </c>
      <c r="H19" s="360" t="s">
        <v>670</v>
      </c>
    </row>
    <row r="20" spans="7:8" s="356" customFormat="1" ht="27.75" thickTop="1" thickBot="1">
      <c r="G20" s="359">
        <f>IF(ترازنامه!K11&gt;ترازنامه!L11,ترازنامه!K11-ترازنامه!L11,0)</f>
        <v>0</v>
      </c>
      <c r="H20" s="360" t="s">
        <v>638</v>
      </c>
    </row>
    <row r="21" spans="7:8" s="356" customFormat="1" ht="27.75" thickTop="1" thickBot="1">
      <c r="G21" s="359">
        <f>-IF(ترازنامه!L11&gt;ترازنامه!K11,ترازنامه!L11-ترازنامه!K11,0)</f>
        <v>0</v>
      </c>
      <c r="H21" s="360" t="s">
        <v>639</v>
      </c>
    </row>
    <row r="22" spans="7:8" s="356" customFormat="1" ht="54" thickTop="1" thickBot="1">
      <c r="G22" s="359"/>
      <c r="H22" s="360" t="s">
        <v>640</v>
      </c>
    </row>
    <row r="23" spans="7:8" s="356" customFormat="1" ht="27.75" thickTop="1" thickBot="1">
      <c r="G23" s="359">
        <f>SUM(G7:G22)</f>
        <v>43432820258.817505</v>
      </c>
      <c r="H23" s="363" t="s">
        <v>189</v>
      </c>
    </row>
    <row r="24" spans="7:8" s="356" customFormat="1" ht="21.75" thickTop="1">
      <c r="G24" s="353"/>
    </row>
    <row r="25" spans="7:8" s="356" customFormat="1" ht="23.25">
      <c r="G25" s="806" t="s">
        <v>685</v>
      </c>
      <c r="H25" s="806"/>
    </row>
    <row r="26" spans="7:8" s="356" customFormat="1" ht="23.25">
      <c r="G26" s="806" t="s">
        <v>641</v>
      </c>
      <c r="H26" s="806"/>
    </row>
    <row r="27" spans="7:8" s="356" customFormat="1" ht="23.25">
      <c r="G27" s="806" t="s">
        <v>764</v>
      </c>
      <c r="H27" s="806"/>
    </row>
    <row r="28" spans="7:8" s="356" customFormat="1" ht="27" thickBot="1">
      <c r="G28" s="344"/>
      <c r="H28" s="460" t="s">
        <v>642</v>
      </c>
    </row>
    <row r="29" spans="7:8" s="356" customFormat="1" ht="54" thickTop="1" thickBot="1">
      <c r="G29" s="359"/>
      <c r="H29" s="363" t="s">
        <v>643</v>
      </c>
    </row>
    <row r="30" spans="7:8" s="356" customFormat="1" ht="27.75" thickTop="1" thickBot="1">
      <c r="G30" s="803" t="s">
        <v>644</v>
      </c>
      <c r="H30" s="803"/>
    </row>
    <row r="31" spans="7:8" s="356" customFormat="1" ht="27.75" thickTop="1" thickBot="1">
      <c r="G31" s="359"/>
      <c r="H31" s="363"/>
    </row>
    <row r="32" spans="7:8" s="356" customFormat="1" ht="54" thickTop="1" thickBot="1">
      <c r="G32" s="364">
        <f>'گردش جریان وجه نقد'!D10</f>
        <v>791666666.66666663</v>
      </c>
      <c r="H32" s="365" t="s">
        <v>645</v>
      </c>
    </row>
    <row r="33" spans="7:8" s="356" customFormat="1" ht="54" thickTop="1" thickBot="1">
      <c r="G33" s="364"/>
      <c r="H33" s="365" t="s">
        <v>646</v>
      </c>
    </row>
    <row r="34" spans="7:8" s="356" customFormat="1" ht="27.75" thickTop="1" thickBot="1">
      <c r="G34" s="364"/>
      <c r="H34" s="365" t="s">
        <v>647</v>
      </c>
    </row>
    <row r="35" spans="7:8" s="356" customFormat="1" ht="27.75" thickTop="1" thickBot="1">
      <c r="G35" s="364">
        <f>-('گردش جریان وجه نقد'!D25+'گردش جریان وجه نقد'!D31)</f>
        <v>-3144634151.486907</v>
      </c>
      <c r="H35" s="365" t="s">
        <v>648</v>
      </c>
    </row>
    <row r="36" spans="7:8" s="356" customFormat="1" ht="27.75" thickTop="1" thickBot="1">
      <c r="G36" s="364">
        <f>-('گردش جریان وجه نقد'!D21+'گردش جریان وجه نقد'!D22)</f>
        <v>-5343750000</v>
      </c>
      <c r="H36" s="365" t="s">
        <v>649</v>
      </c>
    </row>
    <row r="37" spans="7:8" s="356" customFormat="1" ht="54" thickTop="1" thickBot="1">
      <c r="G37" s="364">
        <f>SUM(G32:G36)</f>
        <v>-7696717484.82024</v>
      </c>
      <c r="H37" s="366" t="s">
        <v>650</v>
      </c>
    </row>
    <row r="38" spans="7:8" s="356" customFormat="1" ht="27" thickTop="1">
      <c r="G38" s="353"/>
      <c r="H38" s="345"/>
    </row>
    <row r="39" spans="7:8" s="356" customFormat="1" ht="26.25">
      <c r="G39" s="353"/>
      <c r="H39" s="461" t="s">
        <v>651</v>
      </c>
    </row>
    <row r="40" spans="7:8" s="356" customFormat="1" ht="27" thickBot="1">
      <c r="G40" s="353"/>
      <c r="H40" s="345"/>
    </row>
    <row r="41" spans="7:8" s="356" customFormat="1" ht="27.75" thickTop="1" thickBot="1">
      <c r="G41" s="367"/>
      <c r="H41" s="368"/>
    </row>
    <row r="42" spans="7:8" s="356" customFormat="1" ht="54" thickTop="1" thickBot="1">
      <c r="G42" s="364">
        <f>-'گردش جریان وجه نقد'!D26</f>
        <v>-1875000000</v>
      </c>
      <c r="H42" s="365" t="s">
        <v>652</v>
      </c>
    </row>
    <row r="43" spans="7:8" s="356" customFormat="1" ht="27" thickTop="1">
      <c r="G43" s="353"/>
      <c r="H43" s="345"/>
    </row>
    <row r="44" spans="7:8" s="356" customFormat="1" ht="26.25">
      <c r="G44" s="353"/>
      <c r="H44" s="461" t="s">
        <v>653</v>
      </c>
    </row>
    <row r="45" spans="7:8" s="356" customFormat="1" ht="27" thickBot="1">
      <c r="G45" s="353"/>
      <c r="H45" s="345"/>
    </row>
    <row r="46" spans="7:8" s="356" customFormat="1" ht="27.75" thickTop="1" thickBot="1">
      <c r="G46" s="367"/>
      <c r="H46" s="368"/>
    </row>
    <row r="47" spans="7:8" s="356" customFormat="1" ht="54" thickTop="1" thickBot="1">
      <c r="G47" s="364">
        <f>-('گردش جریان وجه نقد'!D17+'گردش جریان وجه نقد'!D18)</f>
        <v>-24553639275.370003</v>
      </c>
      <c r="H47" s="365" t="s">
        <v>684</v>
      </c>
    </row>
    <row r="48" spans="7:8" s="356" customFormat="1" ht="54" thickTop="1" thickBot="1">
      <c r="G48" s="364">
        <f>-'گردش جریان وجه نقد'!D19</f>
        <v>-10000000000</v>
      </c>
      <c r="H48" s="365" t="s">
        <v>654</v>
      </c>
    </row>
    <row r="49" spans="7:9" ht="54" thickTop="1" thickBot="1">
      <c r="G49" s="364"/>
      <c r="H49" s="365" t="s">
        <v>655</v>
      </c>
      <c r="I49" s="356"/>
    </row>
    <row r="50" spans="7:9" ht="54" thickTop="1" thickBot="1">
      <c r="G50" s="364"/>
      <c r="H50" s="365" t="s">
        <v>656</v>
      </c>
      <c r="I50" s="356"/>
    </row>
    <row r="51" spans="7:9" ht="54" thickTop="1" thickBot="1">
      <c r="G51" s="364"/>
      <c r="H51" s="365" t="s">
        <v>657</v>
      </c>
      <c r="I51" s="356"/>
    </row>
    <row r="52" spans="7:9" ht="54" thickTop="1" thickBot="1">
      <c r="G52" s="364">
        <f>SUM(G47:G51)</f>
        <v>-34553639275.370003</v>
      </c>
      <c r="H52" s="365" t="s">
        <v>658</v>
      </c>
      <c r="I52" s="356"/>
    </row>
    <row r="53" spans="7:9" ht="27" thickTop="1">
      <c r="H53" s="345"/>
      <c r="I53" s="356"/>
    </row>
    <row r="54" spans="7:9" ht="26.25">
      <c r="H54" s="461" t="s">
        <v>706</v>
      </c>
      <c r="I54" s="356"/>
    </row>
    <row r="55" spans="7:9" ht="27" thickBot="1">
      <c r="H55" s="345"/>
      <c r="I55" s="356"/>
    </row>
    <row r="56" spans="7:9" ht="27.75" thickTop="1" thickBot="1">
      <c r="G56" s="367"/>
      <c r="H56" s="368"/>
      <c r="I56" s="356"/>
    </row>
    <row r="57" spans="7:9" ht="27.75" thickTop="1" thickBot="1">
      <c r="G57" s="364">
        <f>'گردش جریان وجه نقد'!D32</f>
        <v>0</v>
      </c>
      <c r="H57" s="365" t="s">
        <v>659</v>
      </c>
      <c r="I57" s="356"/>
    </row>
    <row r="58" spans="7:9" ht="27.75" thickTop="1" thickBot="1">
      <c r="G58" s="364">
        <f>'گردش جریان وجه نقد'!D29</f>
        <v>10000000000</v>
      </c>
      <c r="H58" s="365" t="s">
        <v>660</v>
      </c>
      <c r="I58" s="356"/>
    </row>
    <row r="59" spans="7:9" ht="27.75" thickTop="1" thickBot="1">
      <c r="G59" s="364">
        <f>-('گردش جریان وجه نقد'!D24+'گردش جریان وجه نقد'!D30)</f>
        <v>-10100000000</v>
      </c>
      <c r="H59" s="365" t="s">
        <v>661</v>
      </c>
      <c r="I59" s="356"/>
    </row>
    <row r="60" spans="7:9" ht="54" thickTop="1" thickBot="1">
      <c r="G60" s="352">
        <f>SUM(G57:G59)</f>
        <v>-100000000</v>
      </c>
      <c r="H60" s="365" t="s">
        <v>662</v>
      </c>
      <c r="I60" s="356"/>
    </row>
    <row r="61" spans="7:9" ht="27.75" thickTop="1" thickBot="1">
      <c r="H61" s="358"/>
      <c r="I61" s="356"/>
    </row>
    <row r="62" spans="7:9" ht="22.5" thickTop="1" thickBot="1">
      <c r="G62" s="352">
        <f>G60+G52+G42+G37+G23</f>
        <v>-792536501.3727417</v>
      </c>
      <c r="H62" s="369" t="s">
        <v>663</v>
      </c>
      <c r="I62" s="356"/>
    </row>
    <row r="63" spans="7:9" ht="22.5" thickTop="1" thickBot="1">
      <c r="G63" s="352">
        <f>ترازنامه!R9</f>
        <v>4820750000</v>
      </c>
      <c r="H63" s="370" t="s">
        <v>664</v>
      </c>
    </row>
    <row r="64" spans="7:9" ht="22.5" thickTop="1" thickBot="1">
      <c r="G64" s="352">
        <f>SUM(G62:G63)</f>
        <v>4028213498.6272583</v>
      </c>
      <c r="H64" s="370" t="s">
        <v>665</v>
      </c>
    </row>
    <row r="65" spans="8:8" ht="21.75" thickTop="1"/>
    <row r="66" spans="8:8" ht="105">
      <c r="H66" s="358" t="s">
        <v>666</v>
      </c>
    </row>
  </sheetData>
  <mergeCells count="6">
    <mergeCell ref="G30:H30"/>
    <mergeCell ref="G3:H3"/>
    <mergeCell ref="G4:H4"/>
    <mergeCell ref="G25:H25"/>
    <mergeCell ref="G26:H26"/>
    <mergeCell ref="G27:H27"/>
  </mergeCells>
  <hyperlinks>
    <hyperlink ref="G4:H4" location="'فهرست مطالب'!A1" display="صورت تطبیق سود عملیاتی ورود ( خروج )وجه نقد ناشی از عملیات )"/>
  </hyperlinks>
  <pageMargins left="0.7" right="0.7" top="0.75" bottom="0.75" header="0.3" footer="0.3"/>
  <pageSetup paperSize="9" orientation="portrait" horizontalDpi="300" verticalDpi="300"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2:R73"/>
  <sheetViews>
    <sheetView topLeftCell="E55" workbookViewId="0">
      <selection activeCell="M75" sqref="M75"/>
    </sheetView>
  </sheetViews>
  <sheetFormatPr defaultRowHeight="21"/>
  <cols>
    <col min="1" max="7" width="9.140625" style="459"/>
    <col min="8" max="8" width="14" style="459" bestFit="1" customWidth="1"/>
    <col min="9" max="10" width="9.140625" style="459"/>
    <col min="11" max="11" width="25.140625" style="459" bestFit="1" customWidth="1"/>
    <col min="12" max="12" width="9.140625" style="459"/>
    <col min="13" max="13" width="25.140625" style="459" bestFit="1" customWidth="1"/>
    <col min="14" max="14" width="9.28515625" style="459" bestFit="1" customWidth="1"/>
    <col min="15" max="15" width="39.7109375" style="459" bestFit="1" customWidth="1"/>
    <col min="16" max="16384" width="9.140625" style="459"/>
  </cols>
  <sheetData>
    <row r="2" spans="9:16">
      <c r="I2" s="809" t="s">
        <v>709</v>
      </c>
      <c r="J2" s="809"/>
      <c r="K2" s="809"/>
      <c r="L2" s="809"/>
      <c r="M2" s="809"/>
      <c r="N2" s="809"/>
      <c r="O2" s="809"/>
      <c r="P2" s="809"/>
    </row>
    <row r="3" spans="9:16" ht="21.75" thickBot="1"/>
    <row r="4" spans="9:16" ht="22.5" thickTop="1" thickBot="1">
      <c r="I4" s="810" t="s">
        <v>597</v>
      </c>
      <c r="J4" s="811"/>
      <c r="K4" s="811"/>
      <c r="L4" s="811"/>
      <c r="M4" s="811"/>
      <c r="N4" s="811"/>
      <c r="O4" s="811"/>
      <c r="P4" s="812"/>
    </row>
    <row r="5" spans="9:16" ht="21.75" thickTop="1">
      <c r="I5" s="462"/>
      <c r="J5" s="463"/>
      <c r="K5" s="463"/>
      <c r="L5" s="463"/>
      <c r="M5" s="463"/>
      <c r="N5" s="463"/>
      <c r="O5" s="463"/>
      <c r="P5" s="464"/>
    </row>
    <row r="6" spans="9:16">
      <c r="I6" s="465"/>
      <c r="J6" s="458"/>
      <c r="K6" s="466" t="s">
        <v>578</v>
      </c>
      <c r="L6" s="458"/>
      <c r="M6" s="467" t="s">
        <v>577</v>
      </c>
      <c r="N6" s="458"/>
      <c r="O6" s="467" t="s">
        <v>580</v>
      </c>
      <c r="P6" s="468"/>
    </row>
    <row r="7" spans="9:16">
      <c r="I7" s="465"/>
      <c r="J7" s="458"/>
      <c r="K7" s="458">
        <f>'گردش توليد و مواد ( A)'!D44+'گردش توليد و مواد B'!D44+'گردش توليد و مواد C'!D44</f>
        <v>3488389500</v>
      </c>
      <c r="L7" s="458"/>
      <c r="M7" s="458">
        <f>'اطاعات تفصیلی سال قبل'!S34</f>
        <v>2105000000</v>
      </c>
      <c r="N7" s="458"/>
      <c r="O7" s="469" t="s">
        <v>576</v>
      </c>
      <c r="P7" s="468"/>
    </row>
    <row r="8" spans="9:16">
      <c r="I8" s="465"/>
      <c r="J8" s="458"/>
      <c r="K8" s="458"/>
      <c r="L8" s="458"/>
      <c r="M8" s="458"/>
      <c r="N8" s="458"/>
      <c r="O8" s="458"/>
      <c r="P8" s="468"/>
    </row>
    <row r="9" spans="9:16">
      <c r="I9" s="465"/>
      <c r="J9" s="458"/>
      <c r="K9" s="458">
        <f>'گردش قیمت تمام شده - محصولات'!C8</f>
        <v>5204140357.1297789</v>
      </c>
      <c r="L9" s="458"/>
      <c r="M9" s="458">
        <f>'اطاعات تفصیلی سال قبل'!S24</f>
        <v>2850000000</v>
      </c>
      <c r="N9" s="458"/>
      <c r="O9" s="458" t="s">
        <v>579</v>
      </c>
      <c r="P9" s="468"/>
    </row>
    <row r="10" spans="9:16">
      <c r="I10" s="465"/>
      <c r="J10" s="458"/>
      <c r="K10" s="458"/>
      <c r="L10" s="458"/>
      <c r="M10" s="458"/>
      <c r="N10" s="458"/>
      <c r="O10" s="458"/>
      <c r="P10" s="468"/>
    </row>
    <row r="11" spans="9:16">
      <c r="I11" s="465"/>
      <c r="J11" s="458"/>
      <c r="K11" s="458">
        <f>SUM(K7:K10)</f>
        <v>8692529857.1297798</v>
      </c>
      <c r="L11" s="458"/>
      <c r="M11" s="458">
        <f>SUM(M7:M10)</f>
        <v>4955000000</v>
      </c>
      <c r="N11" s="458"/>
      <c r="O11" s="299" t="s">
        <v>12</v>
      </c>
      <c r="P11" s="468"/>
    </row>
    <row r="12" spans="9:16">
      <c r="I12" s="465"/>
      <c r="J12" s="458"/>
      <c r="K12" s="299" t="s">
        <v>581</v>
      </c>
      <c r="L12" s="458"/>
      <c r="M12" s="458" t="s">
        <v>36</v>
      </c>
      <c r="N12" s="458"/>
      <c r="O12" s="458"/>
      <c r="P12" s="468"/>
    </row>
    <row r="13" spans="9:16" ht="21.75" thickBot="1">
      <c r="I13" s="470"/>
      <c r="J13" s="471"/>
      <c r="K13" s="471"/>
      <c r="L13" s="471"/>
      <c r="M13" s="471"/>
      <c r="N13" s="471"/>
      <c r="O13" s="471"/>
      <c r="P13" s="472"/>
    </row>
    <row r="14" spans="9:16" ht="9" customHeight="1" thickTop="1"/>
    <row r="16" spans="9:16">
      <c r="I16" s="808" t="s">
        <v>707</v>
      </c>
      <c r="J16" s="808"/>
      <c r="K16" s="808"/>
      <c r="L16" s="808"/>
      <c r="M16" s="808"/>
      <c r="N16" s="808"/>
      <c r="O16" s="808"/>
      <c r="P16" s="808"/>
    </row>
    <row r="18" spans="11:15" ht="21.75" thickBot="1"/>
    <row r="19" spans="11:15" ht="21.75" thickTop="1">
      <c r="K19" s="473"/>
      <c r="L19" s="474"/>
      <c r="M19" s="474"/>
      <c r="N19" s="474"/>
      <c r="O19" s="475" t="s">
        <v>590</v>
      </c>
    </row>
    <row r="20" spans="11:15" ht="21.75" thickBot="1">
      <c r="K20" s="476" t="s">
        <v>589</v>
      </c>
      <c r="L20" s="458"/>
      <c r="M20" s="458"/>
      <c r="N20" s="458"/>
      <c r="O20" s="477"/>
    </row>
    <row r="21" spans="11:15" ht="22.5" thickTop="1" thickBot="1">
      <c r="K21" s="478">
        <f>(M7+K7)/2</f>
        <v>2796694750</v>
      </c>
      <c r="L21" s="458"/>
      <c r="M21" s="458"/>
      <c r="N21" s="458"/>
      <c r="O21" s="477" t="s">
        <v>582</v>
      </c>
    </row>
    <row r="22" spans="11:15" ht="21.75" thickBot="1">
      <c r="K22" s="479">
        <f>K21*N22/1000</f>
        <v>0</v>
      </c>
      <c r="L22" s="458"/>
      <c r="M22" s="480" t="s">
        <v>585</v>
      </c>
      <c r="N22" s="480"/>
      <c r="O22" s="477" t="s">
        <v>583</v>
      </c>
    </row>
    <row r="23" spans="11:15" ht="21.75" thickBot="1">
      <c r="K23" s="479">
        <f>K22*N23%</f>
        <v>0</v>
      </c>
      <c r="L23" s="458"/>
      <c r="M23" s="480" t="s">
        <v>390</v>
      </c>
      <c r="N23" s="480"/>
      <c r="O23" s="477" t="s">
        <v>584</v>
      </c>
    </row>
    <row r="24" spans="11:15" ht="21.75" thickBot="1">
      <c r="K24" s="479">
        <f>K22-K23</f>
        <v>0</v>
      </c>
      <c r="L24" s="458"/>
      <c r="M24" s="270" t="s">
        <v>587</v>
      </c>
      <c r="N24" s="270"/>
      <c r="O24" s="477" t="s">
        <v>586</v>
      </c>
    </row>
    <row r="25" spans="11:15" ht="21.75" thickBot="1">
      <c r="K25" s="481" t="e">
        <f>K24/N24</f>
        <v>#DIV/0!</v>
      </c>
      <c r="L25" s="482"/>
      <c r="M25" s="482"/>
      <c r="N25" s="482"/>
      <c r="O25" s="483" t="s">
        <v>588</v>
      </c>
    </row>
    <row r="26" spans="11:15" ht="22.5" thickTop="1" thickBot="1"/>
    <row r="27" spans="11:15" ht="21.75" thickTop="1">
      <c r="K27" s="473"/>
      <c r="L27" s="474"/>
      <c r="M27" s="474"/>
      <c r="N27" s="474"/>
      <c r="O27" s="475" t="s">
        <v>591</v>
      </c>
    </row>
    <row r="28" spans="11:15" ht="21.75" thickBot="1">
      <c r="K28" s="476" t="s">
        <v>589</v>
      </c>
      <c r="L28" s="458"/>
      <c r="M28" s="458"/>
      <c r="N28" s="458"/>
      <c r="O28" s="477"/>
    </row>
    <row r="29" spans="11:15" ht="22.5" thickTop="1" thickBot="1">
      <c r="K29" s="478">
        <f>(M9+K9)/2</f>
        <v>4027070178.5648894</v>
      </c>
      <c r="L29" s="458"/>
      <c r="M29" s="458"/>
      <c r="N29" s="458"/>
      <c r="O29" s="477" t="s">
        <v>592</v>
      </c>
    </row>
    <row r="30" spans="11:15" ht="21.75" thickBot="1">
      <c r="K30" s="479">
        <f>K29*N30/1000</f>
        <v>0</v>
      </c>
      <c r="L30" s="458"/>
      <c r="M30" s="480" t="s">
        <v>585</v>
      </c>
      <c r="N30" s="480"/>
      <c r="O30" s="477" t="s">
        <v>583</v>
      </c>
    </row>
    <row r="31" spans="11:15" ht="21.75" thickBot="1">
      <c r="K31" s="479">
        <f>K30*N31%</f>
        <v>0</v>
      </c>
      <c r="L31" s="458"/>
      <c r="M31" s="480" t="s">
        <v>390</v>
      </c>
      <c r="N31" s="480"/>
      <c r="O31" s="477" t="s">
        <v>584</v>
      </c>
    </row>
    <row r="32" spans="11:15" ht="21.75" thickBot="1">
      <c r="K32" s="479">
        <f>K30-K31</f>
        <v>0</v>
      </c>
      <c r="L32" s="458"/>
      <c r="M32" s="270" t="s">
        <v>587</v>
      </c>
      <c r="N32" s="270"/>
      <c r="O32" s="477" t="s">
        <v>586</v>
      </c>
    </row>
    <row r="33" spans="1:18" ht="21.75" thickBot="1">
      <c r="K33" s="481" t="e">
        <f>K32/N32</f>
        <v>#DIV/0!</v>
      </c>
      <c r="L33" s="482"/>
      <c r="M33" s="482"/>
      <c r="N33" s="482"/>
      <c r="O33" s="483" t="s">
        <v>588</v>
      </c>
    </row>
    <row r="34" spans="1:18" ht="22.5" thickTop="1" thickBot="1"/>
    <row r="35" spans="1:18" ht="22.5" thickTop="1" thickBot="1">
      <c r="K35" s="813">
        <f>K23+K31</f>
        <v>0</v>
      </c>
      <c r="L35" s="814"/>
      <c r="M35" s="814"/>
      <c r="N35" s="815"/>
      <c r="O35" s="484" t="s">
        <v>593</v>
      </c>
    </row>
    <row r="36" spans="1:18" ht="22.5" thickTop="1" thickBot="1">
      <c r="K36" s="813">
        <f>N32</f>
        <v>0</v>
      </c>
      <c r="L36" s="814"/>
      <c r="M36" s="814"/>
      <c r="N36" s="815"/>
      <c r="O36" s="484" t="s">
        <v>594</v>
      </c>
    </row>
    <row r="37" spans="1:18" ht="22.5" thickTop="1" thickBot="1">
      <c r="K37" s="816" t="e">
        <f>K33+K25</f>
        <v>#DIV/0!</v>
      </c>
      <c r="L37" s="816"/>
      <c r="M37" s="816"/>
      <c r="N37" s="816"/>
      <c r="O37" s="484" t="s">
        <v>595</v>
      </c>
    </row>
    <row r="38" spans="1:18" ht="21.75" thickTop="1"/>
    <row r="39" spans="1:18">
      <c r="A39" s="485"/>
      <c r="B39" s="485"/>
      <c r="C39" s="485"/>
      <c r="D39" s="485"/>
      <c r="E39" s="485"/>
      <c r="F39" s="485"/>
      <c r="G39" s="485"/>
      <c r="H39" s="485"/>
      <c r="I39" s="485"/>
      <c r="J39" s="485"/>
      <c r="K39" s="485"/>
      <c r="L39" s="485"/>
      <c r="M39" s="485"/>
      <c r="N39" s="485"/>
      <c r="O39" s="485"/>
      <c r="P39" s="485"/>
      <c r="Q39" s="485"/>
      <c r="R39" s="485"/>
    </row>
    <row r="40" spans="1:18">
      <c r="M40" s="807" t="s">
        <v>598</v>
      </c>
      <c r="N40" s="807"/>
      <c r="O40" s="807"/>
    </row>
    <row r="41" spans="1:18">
      <c r="K41" s="273" t="s">
        <v>612</v>
      </c>
      <c r="M41" s="273" t="s">
        <v>611</v>
      </c>
    </row>
    <row r="42" spans="1:18">
      <c r="K42" s="459">
        <f>('جدول دارایی های ثابت مشهود '!I16-'جدول دارایی های ثابت مشهود '!I5-'جدول دارایی های ثابت مشهود '!I10)</f>
        <v>55769794897.587532</v>
      </c>
      <c r="M42" s="459">
        <f>('جدول دارایی های ثابت مشهود '!J16-'جدول دارایی های ثابت مشهود '!J5-'جدول دارایی های ثابت مشهود '!J10)</f>
        <v>39755000000</v>
      </c>
      <c r="O42" s="459" t="s">
        <v>599</v>
      </c>
    </row>
    <row r="44" spans="1:18" ht="21.75" thickBot="1">
      <c r="K44" s="459">
        <f>(K42+M42)/2</f>
        <v>47762397448.793762</v>
      </c>
      <c r="O44" s="459" t="s">
        <v>600</v>
      </c>
    </row>
    <row r="45" spans="1:18" ht="21.75" thickBot="1">
      <c r="K45" s="459">
        <f>K44*N45%</f>
        <v>0</v>
      </c>
      <c r="M45" s="459" t="s">
        <v>390</v>
      </c>
      <c r="N45" s="486"/>
      <c r="O45" s="459" t="s">
        <v>601</v>
      </c>
    </row>
    <row r="46" spans="1:18" ht="21.75" thickBot="1">
      <c r="K46" s="459">
        <f>K44+K45</f>
        <v>47762397448.793762</v>
      </c>
      <c r="O46" s="459" t="s">
        <v>602</v>
      </c>
    </row>
    <row r="47" spans="1:18" ht="42.75" thickBot="1">
      <c r="K47" s="459">
        <f>K46*N47/1000</f>
        <v>0</v>
      </c>
      <c r="M47" s="459" t="s">
        <v>604</v>
      </c>
      <c r="N47" s="270"/>
      <c r="O47" s="487" t="s">
        <v>603</v>
      </c>
    </row>
    <row r="48" spans="1:18" ht="21.75" thickBot="1">
      <c r="K48" s="459">
        <f>K47*N48%</f>
        <v>0</v>
      </c>
      <c r="M48" s="459" t="s">
        <v>390</v>
      </c>
      <c r="N48" s="270"/>
      <c r="O48" s="459" t="s">
        <v>605</v>
      </c>
    </row>
    <row r="49" spans="5:18" ht="21.75" thickBot="1">
      <c r="K49" s="459">
        <f>K47-K48</f>
        <v>0</v>
      </c>
      <c r="O49" s="459" t="s">
        <v>606</v>
      </c>
    </row>
    <row r="50" spans="5:18" ht="21.75" thickBot="1">
      <c r="M50" s="459" t="s">
        <v>608</v>
      </c>
      <c r="N50" s="270"/>
      <c r="O50" s="459" t="s">
        <v>607</v>
      </c>
    </row>
    <row r="51" spans="5:18">
      <c r="K51" s="321" t="e">
        <f>K49/N50</f>
        <v>#DIV/0!</v>
      </c>
      <c r="O51" s="459" t="s">
        <v>609</v>
      </c>
    </row>
    <row r="52" spans="5:18">
      <c r="E52" s="488"/>
      <c r="F52" s="488"/>
      <c r="G52" s="488"/>
      <c r="H52" s="488"/>
      <c r="I52" s="488"/>
      <c r="J52" s="488"/>
      <c r="K52" s="488"/>
      <c r="L52" s="488"/>
      <c r="M52" s="488"/>
      <c r="N52" s="488"/>
      <c r="O52" s="488"/>
      <c r="P52" s="488"/>
      <c r="Q52" s="488"/>
      <c r="R52" s="488"/>
    </row>
    <row r="53" spans="5:18">
      <c r="M53" s="807" t="s">
        <v>622</v>
      </c>
      <c r="N53" s="807"/>
      <c r="O53" s="807"/>
    </row>
    <row r="54" spans="5:18">
      <c r="K54" s="273" t="s">
        <v>612</v>
      </c>
      <c r="M54" s="273" t="s">
        <v>611</v>
      </c>
    </row>
    <row r="55" spans="5:18">
      <c r="K55" s="459">
        <f>'جدول دارایی های ثابت مشهود '!I10</f>
        <v>2854166666.6666665</v>
      </c>
      <c r="M55" s="459">
        <f>'جدول دارایی های ثابت مشهود '!J10</f>
        <v>1312500000</v>
      </c>
      <c r="O55" s="459" t="s">
        <v>610</v>
      </c>
    </row>
    <row r="56" spans="5:18" ht="21.75" thickBot="1">
      <c r="K56" s="459">
        <f>(K55+M55)/2</f>
        <v>2083333333.3333333</v>
      </c>
      <c r="O56" s="459" t="s">
        <v>613</v>
      </c>
    </row>
    <row r="57" spans="5:18" ht="21.75" thickBot="1">
      <c r="K57" s="459">
        <f>K56*N57/1000</f>
        <v>10416666.666666666</v>
      </c>
      <c r="M57" s="459" t="s">
        <v>604</v>
      </c>
      <c r="N57" s="486">
        <v>5</v>
      </c>
      <c r="O57" s="459" t="s">
        <v>614</v>
      </c>
    </row>
    <row r="58" spans="5:18" ht="21.75" thickBot="1">
      <c r="K58" s="459">
        <f>K57*N58%</f>
        <v>2083333.3333333333</v>
      </c>
      <c r="M58" s="459" t="s">
        <v>616</v>
      </c>
      <c r="N58" s="486">
        <v>20</v>
      </c>
      <c r="O58" s="459" t="s">
        <v>615</v>
      </c>
    </row>
    <row r="59" spans="5:18" ht="21.75" thickBot="1">
      <c r="K59" s="459">
        <f>K57-K58</f>
        <v>8333333.333333333</v>
      </c>
      <c r="O59" s="459" t="s">
        <v>617</v>
      </c>
    </row>
    <row r="60" spans="5:18" ht="21.75" thickBot="1">
      <c r="M60" s="459" t="s">
        <v>608</v>
      </c>
      <c r="N60" s="270"/>
      <c r="O60" s="459" t="s">
        <v>607</v>
      </c>
    </row>
    <row r="61" spans="5:18">
      <c r="K61" s="321" t="e">
        <f>K59/N60</f>
        <v>#DIV/0!</v>
      </c>
      <c r="O61" s="459" t="s">
        <v>609</v>
      </c>
    </row>
    <row r="63" spans="5:18">
      <c r="E63" s="488"/>
      <c r="F63" s="488"/>
      <c r="G63" s="488"/>
      <c r="H63" s="488"/>
      <c r="I63" s="488"/>
      <c r="J63" s="488"/>
      <c r="K63" s="488"/>
      <c r="L63" s="488"/>
      <c r="M63" s="488"/>
      <c r="N63" s="488"/>
      <c r="O63" s="488"/>
      <c r="P63" s="488"/>
      <c r="Q63" s="488"/>
      <c r="R63" s="488"/>
    </row>
    <row r="64" spans="5:18">
      <c r="M64" s="807" t="s">
        <v>623</v>
      </c>
      <c r="N64" s="807"/>
      <c r="O64" s="807"/>
    </row>
    <row r="65" spans="5:18">
      <c r="K65" s="273" t="s">
        <v>612</v>
      </c>
      <c r="M65" s="273" t="s">
        <v>611</v>
      </c>
    </row>
    <row r="66" spans="5:18">
      <c r="K66" s="459">
        <f>K55</f>
        <v>2854166666.6666665</v>
      </c>
      <c r="M66" s="459">
        <f>M55</f>
        <v>1312500000</v>
      </c>
      <c r="O66" s="459" t="s">
        <v>610</v>
      </c>
    </row>
    <row r="67" spans="5:18" ht="21.75" thickBot="1">
      <c r="K67" s="459">
        <f>(K66+M66)/2</f>
        <v>2083333333.3333333</v>
      </c>
      <c r="O67" s="459" t="s">
        <v>613</v>
      </c>
    </row>
    <row r="68" spans="5:18" ht="21.75" thickBot="1">
      <c r="K68" s="459">
        <f>K67*N68/1000</f>
        <v>10416666.666666666</v>
      </c>
      <c r="M68" s="459" t="s">
        <v>604</v>
      </c>
      <c r="N68" s="486">
        <v>5</v>
      </c>
      <c r="O68" s="459" t="s">
        <v>618</v>
      </c>
    </row>
    <row r="69" spans="5:18" ht="21.75" thickBot="1">
      <c r="K69" s="459">
        <f>K68*N69%</f>
        <v>2083333.3333333333</v>
      </c>
      <c r="M69" s="459" t="s">
        <v>616</v>
      </c>
      <c r="N69" s="486">
        <v>20</v>
      </c>
      <c r="O69" s="459" t="s">
        <v>619</v>
      </c>
    </row>
    <row r="70" spans="5:18" ht="21.75" thickBot="1">
      <c r="K70" s="459">
        <f>K68-K69</f>
        <v>8333333.333333333</v>
      </c>
      <c r="O70" s="459" t="s">
        <v>620</v>
      </c>
    </row>
    <row r="71" spans="5:18" ht="21.75" thickBot="1">
      <c r="M71" s="459" t="s">
        <v>608</v>
      </c>
      <c r="N71" s="270"/>
      <c r="O71" s="459" t="s">
        <v>607</v>
      </c>
    </row>
    <row r="72" spans="5:18">
      <c r="K72" s="321" t="e">
        <f>K70/N71</f>
        <v>#DIV/0!</v>
      </c>
      <c r="O72" s="459" t="s">
        <v>621</v>
      </c>
    </row>
    <row r="73" spans="5:18">
      <c r="E73" s="489"/>
      <c r="F73" s="489"/>
      <c r="G73" s="489"/>
      <c r="H73" s="489"/>
      <c r="I73" s="489"/>
      <c r="J73" s="489"/>
      <c r="K73" s="489"/>
      <c r="L73" s="489"/>
      <c r="M73" s="489"/>
      <c r="N73" s="489"/>
      <c r="O73" s="489"/>
      <c r="P73" s="489"/>
      <c r="Q73" s="489"/>
      <c r="R73" s="489"/>
    </row>
  </sheetData>
  <mergeCells count="9">
    <mergeCell ref="M64:O64"/>
    <mergeCell ref="I16:P16"/>
    <mergeCell ref="I2:P2"/>
    <mergeCell ref="I4:P4"/>
    <mergeCell ref="K35:N35"/>
    <mergeCell ref="K36:N36"/>
    <mergeCell ref="K37:N37"/>
    <mergeCell ref="M40:O40"/>
    <mergeCell ref="M53:O53"/>
  </mergeCells>
  <hyperlinks>
    <hyperlink ref="I2:P2" location="'فهرست مطالب'!A1" display="بیمه اموال و دارایی ها 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F0"/>
  </sheetPr>
  <dimension ref="C2:AA28"/>
  <sheetViews>
    <sheetView topLeftCell="K1" workbookViewId="0">
      <selection activeCell="S7" sqref="S7"/>
    </sheetView>
  </sheetViews>
  <sheetFormatPr defaultColWidth="9.140625" defaultRowHeight="23.25"/>
  <cols>
    <col min="1" max="1" width="9.140625" style="24"/>
    <col min="2" max="2" width="9.140625" style="24" customWidth="1"/>
    <col min="3" max="3" width="23.28515625" style="24" bestFit="1" customWidth="1"/>
    <col min="4" max="4" width="25" style="24" bestFit="1" customWidth="1"/>
    <col min="5" max="16" width="18.7109375" style="24" bestFit="1" customWidth="1"/>
    <col min="17" max="17" width="35.85546875" style="24" bestFit="1" customWidth="1"/>
    <col min="18" max="18" width="6.7109375" style="182" customWidth="1"/>
    <col min="19" max="19" width="15.140625" style="24" bestFit="1" customWidth="1"/>
    <col min="20" max="20" width="25.140625" style="24" bestFit="1" customWidth="1"/>
    <col min="21" max="16384" width="9.140625" style="24"/>
  </cols>
  <sheetData>
    <row r="2" spans="3:27">
      <c r="D2" s="603" t="s">
        <v>822</v>
      </c>
      <c r="E2" s="603"/>
      <c r="F2" s="603"/>
      <c r="G2" s="603"/>
      <c r="H2" s="603"/>
      <c r="I2" s="603"/>
      <c r="J2" s="603"/>
      <c r="K2" s="603"/>
      <c r="L2" s="603"/>
      <c r="M2" s="603"/>
      <c r="N2" s="603"/>
      <c r="O2" s="603"/>
      <c r="P2" s="603"/>
      <c r="Q2" s="603"/>
      <c r="R2" s="181"/>
    </row>
    <row r="3" spans="3:27">
      <c r="D3" s="604"/>
      <c r="E3" s="604"/>
      <c r="F3" s="604"/>
      <c r="G3" s="604"/>
      <c r="H3" s="604"/>
      <c r="I3" s="604"/>
      <c r="J3" s="604"/>
      <c r="K3" s="604"/>
      <c r="L3" s="604"/>
      <c r="M3" s="604"/>
      <c r="N3" s="604"/>
      <c r="O3" s="604"/>
      <c r="P3" s="604"/>
      <c r="Q3" s="604"/>
      <c r="R3" s="181"/>
    </row>
    <row r="4" spans="3:27" ht="24" thickBot="1">
      <c r="D4" s="200"/>
      <c r="E4" s="170">
        <v>1</v>
      </c>
      <c r="F4" s="170">
        <v>1</v>
      </c>
      <c r="G4" s="170">
        <v>1</v>
      </c>
      <c r="H4" s="170">
        <v>1</v>
      </c>
      <c r="I4" s="170">
        <v>1</v>
      </c>
      <c r="J4" s="170">
        <v>1</v>
      </c>
      <c r="K4" s="170">
        <v>1</v>
      </c>
      <c r="L4" s="201">
        <v>0.8</v>
      </c>
      <c r="M4" s="201">
        <v>0.8</v>
      </c>
      <c r="N4" s="201">
        <v>0.8</v>
      </c>
      <c r="O4" s="201">
        <v>0.8</v>
      </c>
      <c r="P4" s="201">
        <v>0.8</v>
      </c>
      <c r="Q4" s="200" t="s">
        <v>353</v>
      </c>
      <c r="R4" s="181"/>
      <c r="S4" s="243"/>
      <c r="T4" s="243"/>
    </row>
    <row r="5" spans="3:27" ht="24.75" thickTop="1" thickBot="1">
      <c r="D5" s="200"/>
      <c r="E5" s="170">
        <v>1</v>
      </c>
      <c r="F5" s="170">
        <v>1</v>
      </c>
      <c r="G5" s="170">
        <v>1</v>
      </c>
      <c r="H5" s="170">
        <v>1</v>
      </c>
      <c r="I5" s="170">
        <v>1</v>
      </c>
      <c r="J5" s="170">
        <v>1</v>
      </c>
      <c r="K5" s="170">
        <v>1</v>
      </c>
      <c r="L5" s="170">
        <v>1</v>
      </c>
      <c r="M5" s="170">
        <v>1</v>
      </c>
      <c r="N5" s="170">
        <v>1</v>
      </c>
      <c r="O5" s="170">
        <v>1</v>
      </c>
      <c r="P5" s="201">
        <v>1</v>
      </c>
      <c r="Q5" s="200" t="s">
        <v>352</v>
      </c>
      <c r="R5" s="181"/>
      <c r="S5" s="124">
        <v>850</v>
      </c>
      <c r="T5" s="124" t="s">
        <v>691</v>
      </c>
    </row>
    <row r="6" spans="3:27" ht="27" customHeight="1" thickTop="1" thickBot="1">
      <c r="C6" s="123"/>
      <c r="D6" s="167" t="s">
        <v>726</v>
      </c>
      <c r="E6" s="167" t="s">
        <v>11</v>
      </c>
      <c r="F6" s="167" t="s">
        <v>10</v>
      </c>
      <c r="G6" s="167" t="s">
        <v>9</v>
      </c>
      <c r="H6" s="167" t="s">
        <v>8</v>
      </c>
      <c r="I6" s="167" t="s">
        <v>7</v>
      </c>
      <c r="J6" s="167" t="s">
        <v>6</v>
      </c>
      <c r="K6" s="167" t="s">
        <v>5</v>
      </c>
      <c r="L6" s="167" t="s">
        <v>4</v>
      </c>
      <c r="M6" s="167" t="s">
        <v>3</v>
      </c>
      <c r="N6" s="167" t="s">
        <v>2</v>
      </c>
      <c r="O6" s="167" t="s">
        <v>1</v>
      </c>
      <c r="P6" s="168" t="s">
        <v>0</v>
      </c>
      <c r="Q6" s="203" t="s">
        <v>789</v>
      </c>
      <c r="R6" s="181"/>
      <c r="S6" s="124">
        <v>1300000</v>
      </c>
      <c r="T6" s="124" t="s">
        <v>451</v>
      </c>
      <c r="AA6" s="46"/>
    </row>
    <row r="7" spans="3:27" ht="24.75" customHeight="1" thickTop="1" thickBot="1">
      <c r="C7" s="119"/>
      <c r="D7" s="46">
        <f>SUM(E7:Q7)</f>
        <v>9350</v>
      </c>
      <c r="E7" s="46">
        <f t="shared" ref="E7:P7" si="0">$S5*E4</f>
        <v>850</v>
      </c>
      <c r="F7" s="46">
        <f t="shared" si="0"/>
        <v>850</v>
      </c>
      <c r="G7" s="46">
        <f t="shared" si="0"/>
        <v>850</v>
      </c>
      <c r="H7" s="46">
        <f t="shared" si="0"/>
        <v>850</v>
      </c>
      <c r="I7" s="46">
        <f t="shared" si="0"/>
        <v>850</v>
      </c>
      <c r="J7" s="46">
        <f t="shared" si="0"/>
        <v>850</v>
      </c>
      <c r="K7" s="46">
        <f t="shared" si="0"/>
        <v>850</v>
      </c>
      <c r="L7" s="46">
        <f t="shared" si="0"/>
        <v>680</v>
      </c>
      <c r="M7" s="46">
        <f t="shared" si="0"/>
        <v>680</v>
      </c>
      <c r="N7" s="46">
        <f t="shared" si="0"/>
        <v>680</v>
      </c>
      <c r="O7" s="46">
        <f t="shared" si="0"/>
        <v>680</v>
      </c>
      <c r="P7" s="46">
        <f t="shared" si="0"/>
        <v>680</v>
      </c>
      <c r="Q7" s="204" t="s">
        <v>13</v>
      </c>
      <c r="R7" s="181"/>
      <c r="S7" s="244"/>
      <c r="T7" s="244"/>
    </row>
    <row r="8" spans="3:27" ht="24.75" customHeight="1" thickBot="1">
      <c r="C8" s="119"/>
      <c r="D8" s="46">
        <f>D9/D7</f>
        <v>1300000</v>
      </c>
      <c r="E8" s="202">
        <f t="shared" ref="E8:P8" si="1">$S6*E5</f>
        <v>1300000</v>
      </c>
      <c r="F8" s="202">
        <f t="shared" si="1"/>
        <v>1300000</v>
      </c>
      <c r="G8" s="202">
        <f t="shared" si="1"/>
        <v>1300000</v>
      </c>
      <c r="H8" s="202">
        <f t="shared" si="1"/>
        <v>1300000</v>
      </c>
      <c r="I8" s="202">
        <f t="shared" si="1"/>
        <v>1300000</v>
      </c>
      <c r="J8" s="202">
        <f t="shared" si="1"/>
        <v>1300000</v>
      </c>
      <c r="K8" s="202">
        <f t="shared" si="1"/>
        <v>1300000</v>
      </c>
      <c r="L8" s="202">
        <f t="shared" si="1"/>
        <v>1300000</v>
      </c>
      <c r="M8" s="202">
        <f t="shared" si="1"/>
        <v>1300000</v>
      </c>
      <c r="N8" s="202">
        <f t="shared" si="1"/>
        <v>1300000</v>
      </c>
      <c r="O8" s="202">
        <f t="shared" si="1"/>
        <v>1300000</v>
      </c>
      <c r="P8" s="202">
        <f t="shared" si="1"/>
        <v>1300000</v>
      </c>
      <c r="Q8" s="204" t="s">
        <v>14</v>
      </c>
      <c r="R8" s="181"/>
      <c r="S8" s="193"/>
      <c r="T8" s="193"/>
    </row>
    <row r="9" spans="3:27" ht="29.25" customHeight="1" thickBot="1">
      <c r="C9" s="119"/>
      <c r="D9" s="205">
        <f>SUM(E9:Q9)</f>
        <v>12155000000</v>
      </c>
      <c r="E9" s="205">
        <f t="shared" ref="E9:O9" si="2">E7*E8</f>
        <v>1105000000</v>
      </c>
      <c r="F9" s="205">
        <f t="shared" si="2"/>
        <v>1105000000</v>
      </c>
      <c r="G9" s="205">
        <f t="shared" si="2"/>
        <v>1105000000</v>
      </c>
      <c r="H9" s="205">
        <f t="shared" si="2"/>
        <v>1105000000</v>
      </c>
      <c r="I9" s="205">
        <f t="shared" si="2"/>
        <v>1105000000</v>
      </c>
      <c r="J9" s="205">
        <f t="shared" si="2"/>
        <v>1105000000</v>
      </c>
      <c r="K9" s="205">
        <f t="shared" si="2"/>
        <v>1105000000</v>
      </c>
      <c r="L9" s="205">
        <f t="shared" si="2"/>
        <v>884000000</v>
      </c>
      <c r="M9" s="205">
        <f t="shared" si="2"/>
        <v>884000000</v>
      </c>
      <c r="N9" s="205">
        <f t="shared" si="2"/>
        <v>884000000</v>
      </c>
      <c r="O9" s="205">
        <f t="shared" si="2"/>
        <v>884000000</v>
      </c>
      <c r="P9" s="206">
        <f>P7*P8</f>
        <v>884000000</v>
      </c>
      <c r="Q9" s="207" t="s">
        <v>386</v>
      </c>
      <c r="R9" s="181"/>
      <c r="S9" s="193"/>
      <c r="T9" s="193"/>
    </row>
    <row r="10" spans="3:27" ht="29.25" customHeight="1" thickBot="1">
      <c r="C10" s="109"/>
      <c r="D10" s="241">
        <f>D11/D12*100</f>
        <v>3.7735849056603774</v>
      </c>
      <c r="E10" s="241">
        <v>20</v>
      </c>
      <c r="F10" s="241"/>
      <c r="G10" s="241"/>
      <c r="H10" s="241"/>
      <c r="I10" s="241"/>
      <c r="J10" s="241">
        <v>20</v>
      </c>
      <c r="K10" s="241"/>
      <c r="L10" s="241"/>
      <c r="M10" s="241"/>
      <c r="N10" s="241"/>
      <c r="O10" s="241"/>
      <c r="P10" s="242"/>
      <c r="Q10" s="121" t="s">
        <v>452</v>
      </c>
      <c r="R10" s="181"/>
      <c r="S10" s="193"/>
      <c r="T10" s="193"/>
    </row>
    <row r="11" spans="3:27" ht="29.25" customHeight="1" thickBot="1">
      <c r="C11" s="109"/>
      <c r="D11" s="46">
        <f>SUM(E11:P11)</f>
        <v>442000000</v>
      </c>
      <c r="E11" s="46">
        <f t="shared" ref="E11:O11" si="3">E9*E10%</f>
        <v>221000000</v>
      </c>
      <c r="F11" s="46">
        <f t="shared" si="3"/>
        <v>0</v>
      </c>
      <c r="G11" s="46">
        <f t="shared" si="3"/>
        <v>0</v>
      </c>
      <c r="H11" s="46">
        <f t="shared" si="3"/>
        <v>0</v>
      </c>
      <c r="I11" s="46">
        <f t="shared" si="3"/>
        <v>0</v>
      </c>
      <c r="J11" s="46">
        <f t="shared" si="3"/>
        <v>221000000</v>
      </c>
      <c r="K11" s="46">
        <f t="shared" si="3"/>
        <v>0</v>
      </c>
      <c r="L11" s="46">
        <f t="shared" si="3"/>
        <v>0</v>
      </c>
      <c r="M11" s="46">
        <f t="shared" si="3"/>
        <v>0</v>
      </c>
      <c r="N11" s="46">
        <f t="shared" si="3"/>
        <v>0</v>
      </c>
      <c r="O11" s="46">
        <f t="shared" si="3"/>
        <v>0</v>
      </c>
      <c r="P11" s="46">
        <f>P9*P10%</f>
        <v>0</v>
      </c>
      <c r="Q11" s="194" t="s">
        <v>453</v>
      </c>
      <c r="R11" s="181"/>
    </row>
    <row r="12" spans="3:27" ht="29.25" customHeight="1" thickBot="1">
      <c r="C12" s="109"/>
      <c r="D12" s="38">
        <f t="shared" ref="D12:O12" si="4">D9-D11</f>
        <v>11713000000</v>
      </c>
      <c r="E12" s="38">
        <f t="shared" si="4"/>
        <v>884000000</v>
      </c>
      <c r="F12" s="38">
        <f t="shared" si="4"/>
        <v>1105000000</v>
      </c>
      <c r="G12" s="38">
        <f t="shared" si="4"/>
        <v>1105000000</v>
      </c>
      <c r="H12" s="38">
        <f t="shared" si="4"/>
        <v>1105000000</v>
      </c>
      <c r="I12" s="38">
        <f t="shared" si="4"/>
        <v>1105000000</v>
      </c>
      <c r="J12" s="38">
        <f t="shared" si="4"/>
        <v>884000000</v>
      </c>
      <c r="K12" s="38">
        <f t="shared" si="4"/>
        <v>1105000000</v>
      </c>
      <c r="L12" s="38">
        <f t="shared" si="4"/>
        <v>884000000</v>
      </c>
      <c r="M12" s="38">
        <f t="shared" si="4"/>
        <v>884000000</v>
      </c>
      <c r="N12" s="38">
        <f t="shared" si="4"/>
        <v>884000000</v>
      </c>
      <c r="O12" s="38">
        <f t="shared" si="4"/>
        <v>884000000</v>
      </c>
      <c r="P12" s="38">
        <f>P9-P11</f>
        <v>884000000</v>
      </c>
      <c r="Q12" s="39" t="s">
        <v>385</v>
      </c>
      <c r="R12" s="181"/>
      <c r="S12" s="193"/>
      <c r="T12" s="193"/>
    </row>
    <row r="13" spans="3:27" ht="29.25" customHeight="1" thickBot="1"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09"/>
      <c r="P13" s="109"/>
    </row>
    <row r="14" spans="3:27" ht="29.25" customHeight="1" thickTop="1" thickBot="1">
      <c r="C14" s="110" t="s">
        <v>301</v>
      </c>
      <c r="D14" s="110" t="str">
        <f t="shared" ref="D14:O14" si="5">D6</f>
        <v>جمع فروش سال 97</v>
      </c>
      <c r="E14" s="110" t="str">
        <f t="shared" si="5"/>
        <v xml:space="preserve">اسفند </v>
      </c>
      <c r="F14" s="110" t="str">
        <f t="shared" si="5"/>
        <v>بهمن</v>
      </c>
      <c r="G14" s="110" t="str">
        <f t="shared" si="5"/>
        <v>دی</v>
      </c>
      <c r="H14" s="110" t="str">
        <f t="shared" si="5"/>
        <v>اذر</v>
      </c>
      <c r="I14" s="110" t="str">
        <f t="shared" si="5"/>
        <v>آبان</v>
      </c>
      <c r="J14" s="110" t="str">
        <f t="shared" si="5"/>
        <v>مهر</v>
      </c>
      <c r="K14" s="110" t="str">
        <f t="shared" si="5"/>
        <v>شهریور</v>
      </c>
      <c r="L14" s="110" t="str">
        <f t="shared" si="5"/>
        <v>مرداد</v>
      </c>
      <c r="M14" s="110" t="str">
        <f t="shared" si="5"/>
        <v xml:space="preserve">تیر </v>
      </c>
      <c r="N14" s="110" t="str">
        <f t="shared" si="5"/>
        <v>خرداد</v>
      </c>
      <c r="O14" s="110" t="str">
        <f t="shared" si="5"/>
        <v>اردیبهشت</v>
      </c>
      <c r="P14" s="110" t="str">
        <f>P6</f>
        <v xml:space="preserve">فروردین </v>
      </c>
      <c r="Q14" s="110" t="s">
        <v>300</v>
      </c>
      <c r="R14" s="181"/>
    </row>
    <row r="15" spans="3:27" ht="24.95" customHeight="1" thickTop="1" thickBot="1">
      <c r="C15" s="120"/>
      <c r="D15" s="120">
        <f>SUM(E15:P15)</f>
        <v>884000000</v>
      </c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>
        <f>P$12*20%</f>
        <v>176800000</v>
      </c>
      <c r="P15" s="120">
        <f>P$12*80%</f>
        <v>707200000</v>
      </c>
      <c r="Q15" s="120" t="s">
        <v>16</v>
      </c>
      <c r="R15" s="181"/>
    </row>
    <row r="16" spans="3:27" ht="24.95" customHeight="1" thickBot="1">
      <c r="C16" s="121"/>
      <c r="D16" s="120">
        <f t="shared" ref="D16:D26" si="6">SUM(E16:P16)</f>
        <v>884000000</v>
      </c>
      <c r="E16" s="121"/>
      <c r="F16" s="121"/>
      <c r="G16" s="121"/>
      <c r="H16" s="121"/>
      <c r="I16" s="121"/>
      <c r="J16" s="121"/>
      <c r="K16" s="121"/>
      <c r="L16" s="121"/>
      <c r="M16" s="121"/>
      <c r="N16" s="120">
        <f>O$12*20%</f>
        <v>176800000</v>
      </c>
      <c r="O16" s="120">
        <f>O$12*80%</f>
        <v>707200000</v>
      </c>
      <c r="P16" s="121"/>
      <c r="Q16" s="121" t="s">
        <v>17</v>
      </c>
      <c r="R16" s="181"/>
    </row>
    <row r="17" spans="3:18" ht="24.95" customHeight="1" thickBot="1">
      <c r="C17" s="121"/>
      <c r="D17" s="120">
        <f t="shared" si="6"/>
        <v>884000000</v>
      </c>
      <c r="E17" s="121"/>
      <c r="F17" s="121"/>
      <c r="G17" s="121"/>
      <c r="H17" s="121"/>
      <c r="I17" s="121"/>
      <c r="J17" s="121"/>
      <c r="K17" s="121"/>
      <c r="L17" s="121"/>
      <c r="M17" s="120">
        <f>N$12*20%</f>
        <v>176800000</v>
      </c>
      <c r="N17" s="120">
        <f>N$12*80%</f>
        <v>707200000</v>
      </c>
      <c r="O17" s="121"/>
      <c r="P17" s="121"/>
      <c r="Q17" s="121" t="s">
        <v>18</v>
      </c>
      <c r="R17" s="181"/>
    </row>
    <row r="18" spans="3:18" ht="24.95" customHeight="1" thickBot="1">
      <c r="C18" s="121"/>
      <c r="D18" s="120">
        <f t="shared" si="6"/>
        <v>884000000</v>
      </c>
      <c r="E18" s="121"/>
      <c r="F18" s="121"/>
      <c r="G18" s="121"/>
      <c r="H18" s="121"/>
      <c r="I18" s="121"/>
      <c r="J18" s="121"/>
      <c r="K18" s="121"/>
      <c r="L18" s="120">
        <f>M$12*20%</f>
        <v>176800000</v>
      </c>
      <c r="M18" s="120">
        <f>M$12*80%</f>
        <v>707200000</v>
      </c>
      <c r="N18" s="121"/>
      <c r="O18" s="121"/>
      <c r="P18" s="121"/>
      <c r="Q18" s="121" t="s">
        <v>19</v>
      </c>
      <c r="R18" s="181"/>
    </row>
    <row r="19" spans="3:18" ht="24.95" customHeight="1" thickBot="1">
      <c r="C19" s="121"/>
      <c r="D19" s="120">
        <f t="shared" si="6"/>
        <v>884000000</v>
      </c>
      <c r="E19" s="121"/>
      <c r="F19" s="121"/>
      <c r="G19" s="121"/>
      <c r="H19" s="121"/>
      <c r="I19" s="121"/>
      <c r="J19" s="121"/>
      <c r="K19" s="120">
        <f>L$12*20%</f>
        <v>176800000</v>
      </c>
      <c r="L19" s="120">
        <f>L$12*80%</f>
        <v>707200000</v>
      </c>
      <c r="M19" s="122"/>
      <c r="N19" s="122"/>
      <c r="O19" s="122"/>
      <c r="P19" s="122"/>
      <c r="Q19" s="121" t="s">
        <v>20</v>
      </c>
      <c r="R19" s="181"/>
    </row>
    <row r="20" spans="3:18" ht="24.95" customHeight="1" thickBot="1">
      <c r="C20" s="121"/>
      <c r="D20" s="120">
        <f t="shared" si="6"/>
        <v>1105000000</v>
      </c>
      <c r="E20" s="121"/>
      <c r="F20" s="121"/>
      <c r="G20" s="121"/>
      <c r="H20" s="121"/>
      <c r="I20" s="121"/>
      <c r="J20" s="120">
        <f>K$12*20%</f>
        <v>221000000</v>
      </c>
      <c r="K20" s="120">
        <f>K$12*80%</f>
        <v>884000000</v>
      </c>
      <c r="L20" s="121"/>
      <c r="M20" s="121"/>
      <c r="N20" s="121"/>
      <c r="O20" s="121"/>
      <c r="P20" s="121"/>
      <c r="Q20" s="121" t="s">
        <v>21</v>
      </c>
      <c r="R20" s="181"/>
    </row>
    <row r="21" spans="3:18" ht="24.95" customHeight="1" thickBot="1">
      <c r="C21" s="121"/>
      <c r="D21" s="120">
        <f t="shared" si="6"/>
        <v>884000000</v>
      </c>
      <c r="E21" s="121"/>
      <c r="F21" s="121"/>
      <c r="G21" s="121"/>
      <c r="H21" s="121"/>
      <c r="I21" s="120">
        <f>J$12*20%</f>
        <v>176800000</v>
      </c>
      <c r="J21" s="120">
        <f>J$12*80%</f>
        <v>707200000</v>
      </c>
      <c r="K21" s="121"/>
      <c r="L21" s="121"/>
      <c r="M21" s="121"/>
      <c r="N21" s="121"/>
      <c r="O21" s="121"/>
      <c r="P21" s="121"/>
      <c r="Q21" s="121" t="s">
        <v>22</v>
      </c>
      <c r="R21" s="181"/>
    </row>
    <row r="22" spans="3:18" ht="24.95" customHeight="1" thickBot="1">
      <c r="C22" s="121"/>
      <c r="D22" s="120">
        <f t="shared" si="6"/>
        <v>1105000000</v>
      </c>
      <c r="E22" s="121"/>
      <c r="F22" s="121"/>
      <c r="G22" s="121"/>
      <c r="H22" s="120">
        <f>I$12*20%</f>
        <v>221000000</v>
      </c>
      <c r="I22" s="120">
        <f>I$12*80%</f>
        <v>884000000</v>
      </c>
      <c r="J22" s="121"/>
      <c r="K22" s="121"/>
      <c r="L22" s="121"/>
      <c r="M22" s="121"/>
      <c r="N22" s="121"/>
      <c r="O22" s="121"/>
      <c r="P22" s="121"/>
      <c r="Q22" s="121" t="s">
        <v>23</v>
      </c>
      <c r="R22" s="181"/>
    </row>
    <row r="23" spans="3:18" ht="24.95" customHeight="1" thickBot="1">
      <c r="C23" s="121"/>
      <c r="D23" s="120">
        <f t="shared" si="6"/>
        <v>1105000000</v>
      </c>
      <c r="E23" s="121"/>
      <c r="F23" s="121"/>
      <c r="G23" s="120">
        <f>H$12*20%</f>
        <v>221000000</v>
      </c>
      <c r="H23" s="120">
        <f>H$12*80%</f>
        <v>884000000</v>
      </c>
      <c r="I23" s="122"/>
      <c r="J23" s="122"/>
      <c r="K23" s="122"/>
      <c r="L23" s="122"/>
      <c r="M23" s="122"/>
      <c r="N23" s="122"/>
      <c r="O23" s="122"/>
      <c r="P23" s="122"/>
      <c r="Q23" s="121" t="s">
        <v>24</v>
      </c>
      <c r="R23" s="181"/>
    </row>
    <row r="24" spans="3:18" ht="24.95" customHeight="1" thickBot="1">
      <c r="C24" s="121"/>
      <c r="D24" s="120">
        <f t="shared" si="6"/>
        <v>1105000000</v>
      </c>
      <c r="E24" s="121"/>
      <c r="F24" s="120">
        <f>G$12*20%</f>
        <v>221000000</v>
      </c>
      <c r="G24" s="120">
        <f>G$12*80%</f>
        <v>884000000</v>
      </c>
      <c r="H24" s="121"/>
      <c r="I24" s="121"/>
      <c r="J24" s="121"/>
      <c r="K24" s="121"/>
      <c r="L24" s="121"/>
      <c r="M24" s="121"/>
      <c r="N24" s="121"/>
      <c r="O24" s="121"/>
      <c r="P24" s="121"/>
      <c r="Q24" s="121" t="s">
        <v>25</v>
      </c>
      <c r="R24" s="181"/>
    </row>
    <row r="25" spans="3:18" ht="24.95" customHeight="1" thickBot="1">
      <c r="C25" s="121"/>
      <c r="D25" s="120">
        <f t="shared" si="6"/>
        <v>1105000000</v>
      </c>
      <c r="E25" s="120">
        <f>F$12*20%</f>
        <v>221000000</v>
      </c>
      <c r="F25" s="120">
        <f>F$12*80%</f>
        <v>884000000</v>
      </c>
      <c r="G25" s="121"/>
      <c r="H25" s="121"/>
      <c r="I25" s="121"/>
      <c r="J25" s="121"/>
      <c r="K25" s="121"/>
      <c r="L25" s="121"/>
      <c r="M25" s="121"/>
      <c r="N25" s="121"/>
      <c r="O25" s="121"/>
      <c r="P25" s="121"/>
      <c r="Q25" s="121" t="s">
        <v>26</v>
      </c>
      <c r="R25" s="181"/>
    </row>
    <row r="26" spans="3:18" ht="24.95" customHeight="1" thickBot="1">
      <c r="C26" s="121">
        <f>E12*20%</f>
        <v>176800000</v>
      </c>
      <c r="D26" s="120">
        <f t="shared" si="6"/>
        <v>707200000</v>
      </c>
      <c r="E26" s="121">
        <f>E12*80%</f>
        <v>707200000</v>
      </c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 t="s">
        <v>27</v>
      </c>
      <c r="R26" s="181"/>
    </row>
    <row r="27" spans="3:18" ht="50.25" customHeight="1" thickBot="1">
      <c r="C27" s="125">
        <f t="shared" ref="C27:O27" si="7">SUM(C15:C26)</f>
        <v>176800000</v>
      </c>
      <c r="D27" s="125">
        <f t="shared" si="7"/>
        <v>11536200000</v>
      </c>
      <c r="E27" s="125">
        <f t="shared" si="7"/>
        <v>928200000</v>
      </c>
      <c r="F27" s="125">
        <f t="shared" si="7"/>
        <v>1105000000</v>
      </c>
      <c r="G27" s="125">
        <f t="shared" si="7"/>
        <v>1105000000</v>
      </c>
      <c r="H27" s="125">
        <f t="shared" si="7"/>
        <v>1105000000</v>
      </c>
      <c r="I27" s="125">
        <f t="shared" si="7"/>
        <v>1060800000</v>
      </c>
      <c r="J27" s="125">
        <f t="shared" si="7"/>
        <v>928200000</v>
      </c>
      <c r="K27" s="125">
        <f t="shared" si="7"/>
        <v>1060800000</v>
      </c>
      <c r="L27" s="125">
        <f t="shared" si="7"/>
        <v>884000000</v>
      </c>
      <c r="M27" s="125">
        <f t="shared" si="7"/>
        <v>884000000</v>
      </c>
      <c r="N27" s="125">
        <f t="shared" si="7"/>
        <v>884000000</v>
      </c>
      <c r="O27" s="125">
        <f t="shared" si="7"/>
        <v>884000000</v>
      </c>
      <c r="P27" s="125">
        <f>SUM(P15:P26)</f>
        <v>707200000</v>
      </c>
      <c r="Q27" s="126" t="s">
        <v>28</v>
      </c>
      <c r="R27" s="109"/>
    </row>
    <row r="28" spans="3:18" ht="30" customHeight="1" thickBot="1">
      <c r="C28" s="127" t="s">
        <v>302</v>
      </c>
      <c r="D28" s="597" t="s">
        <v>303</v>
      </c>
      <c r="E28" s="598"/>
      <c r="F28" s="598"/>
      <c r="G28" s="598"/>
      <c r="H28" s="598"/>
      <c r="I28" s="598"/>
      <c r="J28" s="598"/>
      <c r="K28" s="598"/>
      <c r="L28" s="598"/>
      <c r="M28" s="598"/>
      <c r="N28" s="598"/>
      <c r="O28" s="598"/>
      <c r="P28" s="598"/>
      <c r="Q28" s="599"/>
      <c r="R28" s="109"/>
    </row>
  </sheetData>
  <mergeCells count="2">
    <mergeCell ref="D2:Q3"/>
    <mergeCell ref="D28:Q28"/>
  </mergeCells>
  <hyperlinks>
    <hyperlink ref="D2:Q3" r:id="rId1" location="'فهرست مطالب'!A1" display="فروش محصول -پالتو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F0"/>
  </sheetPr>
  <dimension ref="C2:AC27"/>
  <sheetViews>
    <sheetView topLeftCell="Q13" workbookViewId="0">
      <selection activeCell="Z28" sqref="Z28"/>
    </sheetView>
  </sheetViews>
  <sheetFormatPr defaultColWidth="9" defaultRowHeight="23.25"/>
  <cols>
    <col min="1" max="2" width="9" style="24"/>
    <col min="3" max="3" width="23.28515625" style="24" bestFit="1" customWidth="1"/>
    <col min="4" max="4" width="25" style="24" bestFit="1" customWidth="1"/>
    <col min="5" max="16" width="23.140625" style="24" bestFit="1" customWidth="1"/>
    <col min="17" max="17" width="35.85546875" style="24" bestFit="1" customWidth="1"/>
    <col min="18" max="18" width="9" style="182"/>
    <col min="19" max="19" width="15.42578125" style="24" bestFit="1" customWidth="1"/>
    <col min="20" max="20" width="30.7109375" style="24" bestFit="1" customWidth="1"/>
    <col min="21" max="21" width="24.28515625" style="24" bestFit="1" customWidth="1"/>
    <col min="22" max="22" width="24.85546875" style="24" bestFit="1" customWidth="1"/>
    <col min="23" max="23" width="21" style="24" bestFit="1" customWidth="1"/>
    <col min="24" max="24" width="18" style="24" bestFit="1" customWidth="1"/>
    <col min="25" max="16384" width="9" style="24"/>
  </cols>
  <sheetData>
    <row r="2" spans="3:29">
      <c r="D2" s="603" t="s">
        <v>388</v>
      </c>
      <c r="E2" s="603"/>
      <c r="F2" s="603"/>
      <c r="G2" s="603"/>
      <c r="H2" s="603"/>
      <c r="I2" s="603"/>
      <c r="J2" s="603"/>
      <c r="K2" s="603"/>
      <c r="L2" s="603"/>
      <c r="M2" s="603"/>
      <c r="N2" s="603"/>
      <c r="O2" s="603"/>
      <c r="P2" s="603"/>
      <c r="Q2" s="603"/>
      <c r="R2" s="181"/>
    </row>
    <row r="3" spans="3:29">
      <c r="D3" s="603"/>
      <c r="E3" s="603"/>
      <c r="F3" s="603"/>
      <c r="G3" s="603"/>
      <c r="H3" s="603"/>
      <c r="I3" s="603"/>
      <c r="J3" s="603"/>
      <c r="K3" s="603"/>
      <c r="L3" s="603"/>
      <c r="M3" s="603"/>
      <c r="N3" s="603"/>
      <c r="O3" s="603"/>
      <c r="P3" s="603"/>
      <c r="Q3" s="603"/>
      <c r="R3" s="181"/>
    </row>
    <row r="4" spans="3:29">
      <c r="D4" s="603"/>
      <c r="E4" s="603"/>
      <c r="F4" s="603"/>
      <c r="G4" s="603"/>
      <c r="H4" s="603"/>
      <c r="I4" s="603"/>
      <c r="J4" s="603"/>
      <c r="K4" s="603"/>
      <c r="L4" s="603"/>
      <c r="M4" s="603"/>
      <c r="N4" s="603"/>
      <c r="O4" s="603"/>
      <c r="P4" s="603"/>
      <c r="Q4" s="603"/>
      <c r="R4" s="181"/>
    </row>
    <row r="5" spans="3:29" ht="24" thickBot="1">
      <c r="D5" s="603"/>
      <c r="E5" s="603"/>
      <c r="F5" s="603"/>
      <c r="G5" s="603"/>
      <c r="H5" s="603"/>
      <c r="I5" s="603"/>
      <c r="J5" s="603"/>
      <c r="K5" s="603"/>
      <c r="L5" s="603"/>
      <c r="M5" s="603"/>
      <c r="N5" s="603"/>
      <c r="O5" s="603"/>
      <c r="P5" s="603"/>
      <c r="Q5" s="603"/>
      <c r="R5" s="181"/>
      <c r="S5" s="193"/>
      <c r="T5" s="193"/>
      <c r="U5" s="193"/>
      <c r="V5" s="193"/>
    </row>
    <row r="6" spans="3:29" ht="27" customHeight="1" thickBot="1">
      <c r="C6" s="123"/>
      <c r="D6" s="167" t="s">
        <v>726</v>
      </c>
      <c r="E6" s="167" t="s">
        <v>11</v>
      </c>
      <c r="F6" s="167" t="s">
        <v>10</v>
      </c>
      <c r="G6" s="167" t="s">
        <v>9</v>
      </c>
      <c r="H6" s="167" t="s">
        <v>8</v>
      </c>
      <c r="I6" s="167" t="s">
        <v>7</v>
      </c>
      <c r="J6" s="167" t="s">
        <v>6</v>
      </c>
      <c r="K6" s="167" t="s">
        <v>5</v>
      </c>
      <c r="L6" s="167" t="s">
        <v>4</v>
      </c>
      <c r="M6" s="167" t="s">
        <v>3</v>
      </c>
      <c r="N6" s="167" t="s">
        <v>2</v>
      </c>
      <c r="O6" s="167" t="s">
        <v>1</v>
      </c>
      <c r="P6" s="168" t="s">
        <v>0</v>
      </c>
      <c r="Q6" s="203" t="s">
        <v>455</v>
      </c>
      <c r="R6" s="181"/>
      <c r="S6" s="193"/>
      <c r="T6" s="193"/>
      <c r="U6" s="193"/>
      <c r="V6" s="193"/>
      <c r="AC6" s="46"/>
    </row>
    <row r="7" spans="3:29" ht="24.75" customHeight="1" thickBot="1">
      <c r="C7" s="119"/>
      <c r="D7" s="208">
        <f>'فروش - محصول A'!D7+'فروش محصول B'!D7+'فروش محصول C'!D7</f>
        <v>30310</v>
      </c>
      <c r="E7" s="208">
        <f>'فروش - محصول A'!E7+'فروش محصول B'!E7+'فروش محصول C'!E7</f>
        <v>3050</v>
      </c>
      <c r="F7" s="208">
        <f>'فروش - محصول A'!F7+'فروش محصول B'!F7+'فروش محصول C'!F7</f>
        <v>3050</v>
      </c>
      <c r="G7" s="208">
        <f>'فروش - محصول A'!G7+'فروش محصول B'!G7+'فروش محصول C'!G7</f>
        <v>2930</v>
      </c>
      <c r="H7" s="208">
        <f>'فروش - محصول A'!H7+'فروش محصول B'!H7+'فروش محصول C'!H7</f>
        <v>2810</v>
      </c>
      <c r="I7" s="208">
        <f>'فروش - محصول A'!I7+'فروش محصول B'!I7+'فروش محصول C'!I7</f>
        <v>2810</v>
      </c>
      <c r="J7" s="208">
        <f>'فروش - محصول A'!J7+'فروش محصول B'!J7+'فروش محصول C'!J7</f>
        <v>2810</v>
      </c>
      <c r="K7" s="208">
        <f>'فروش - محصول A'!K7+'فروش محصول B'!K7+'فروش محصول C'!K7</f>
        <v>2450</v>
      </c>
      <c r="L7" s="208">
        <f>'فروش - محصول A'!L7+'فروش محصول B'!L7+'فروش محصول C'!L7</f>
        <v>2080</v>
      </c>
      <c r="M7" s="208">
        <f>'فروش - محصول A'!M7+'فروش محصول B'!M7+'فروش محصول C'!M7</f>
        <v>2080</v>
      </c>
      <c r="N7" s="208">
        <f>'فروش - محصول A'!N7+'فروش محصول B'!N7+'فروش محصول C'!N7</f>
        <v>2080</v>
      </c>
      <c r="O7" s="208">
        <f>'فروش - محصول A'!O7+'فروش محصول B'!O7+'فروش محصول C'!O7</f>
        <v>2080</v>
      </c>
      <c r="P7" s="208">
        <f>'فروش - محصول A'!P7+'فروش محصول B'!P7+'فروش محصول C'!P7</f>
        <v>2080</v>
      </c>
      <c r="Q7" s="204" t="s">
        <v>13</v>
      </c>
      <c r="R7" s="181"/>
      <c r="S7" s="193"/>
      <c r="T7" s="193"/>
      <c r="U7" s="193"/>
      <c r="V7" s="193"/>
    </row>
    <row r="8" spans="3:29" ht="24.75" customHeight="1" thickBot="1">
      <c r="C8" s="119"/>
      <c r="D8" s="202">
        <f t="shared" ref="D8:O8" si="0">D9/D7</f>
        <v>5580171.5605410757</v>
      </c>
      <c r="E8" s="202">
        <f t="shared" si="0"/>
        <v>6296721.3114754101</v>
      </c>
      <c r="F8" s="202">
        <f t="shared" si="0"/>
        <v>6296721.3114754101</v>
      </c>
      <c r="G8" s="202">
        <f t="shared" si="0"/>
        <v>6022184.3003412969</v>
      </c>
      <c r="H8" s="202">
        <f t="shared" si="0"/>
        <v>5724199.288256228</v>
      </c>
      <c r="I8" s="202">
        <f t="shared" si="0"/>
        <v>5724199.288256228</v>
      </c>
      <c r="J8" s="202">
        <f t="shared" si="0"/>
        <v>5724199.288256228</v>
      </c>
      <c r="K8" s="202">
        <f t="shared" si="0"/>
        <v>4655102.0408163266</v>
      </c>
      <c r="L8" s="202">
        <f t="shared" si="0"/>
        <v>5136538.461538462</v>
      </c>
      <c r="M8" s="202">
        <f t="shared" si="0"/>
        <v>5136538.461538462</v>
      </c>
      <c r="N8" s="202">
        <f t="shared" si="0"/>
        <v>5136538.461538462</v>
      </c>
      <c r="O8" s="202">
        <f t="shared" si="0"/>
        <v>5136538.461538462</v>
      </c>
      <c r="P8" s="202">
        <f>P9/P7</f>
        <v>5136538.461538462</v>
      </c>
      <c r="Q8" s="204" t="s">
        <v>14</v>
      </c>
      <c r="R8" s="181"/>
      <c r="S8" s="193"/>
      <c r="T8" s="193"/>
      <c r="U8" s="193"/>
      <c r="V8" s="193"/>
    </row>
    <row r="9" spans="3:29" ht="29.25" customHeight="1" thickBot="1">
      <c r="C9" s="119"/>
      <c r="D9" s="206">
        <f>'فروش - محصول A'!D9+'فروش محصول B'!D9+'فروش محصول C'!D9</f>
        <v>169135000000</v>
      </c>
      <c r="E9" s="206">
        <f>'فروش - محصول A'!E9+'فروش محصول B'!E9+'فروش محصول C'!E9</f>
        <v>19205000000</v>
      </c>
      <c r="F9" s="206">
        <f>'فروش - محصول A'!F9+'فروش محصول B'!F9+'فروش محصول C'!F9</f>
        <v>19205000000</v>
      </c>
      <c r="G9" s="206">
        <f>'فروش - محصول A'!G9+'فروش محصول B'!G9+'فروش محصول C'!G9</f>
        <v>17645000000</v>
      </c>
      <c r="H9" s="206">
        <f>'فروش - محصول A'!H9+'فروش محصول B'!H9+'فروش محصول C'!H9</f>
        <v>16085000000</v>
      </c>
      <c r="I9" s="206">
        <f>'فروش - محصول A'!I9+'فروش محصول B'!I9+'فروش محصول C'!I9</f>
        <v>16085000000</v>
      </c>
      <c r="J9" s="206">
        <f>'فروش - محصول A'!J9+'فروش محصول B'!J9+'فروش محصول C'!J9</f>
        <v>16085000000</v>
      </c>
      <c r="K9" s="206">
        <f>'فروش - محصول A'!K9+'فروش محصول B'!K9+'فروش محصول C'!K9</f>
        <v>11405000000</v>
      </c>
      <c r="L9" s="206">
        <f>'فروش - محصول A'!L9+'فروش محصول B'!L9+'فروش محصول C'!L9</f>
        <v>10684000000</v>
      </c>
      <c r="M9" s="206">
        <f>'فروش - محصول A'!M9+'فروش محصول B'!M9+'فروش محصول C'!M9</f>
        <v>10684000000</v>
      </c>
      <c r="N9" s="206">
        <f>'فروش - محصول A'!N9+'فروش محصول B'!N9+'فروش محصول C'!N9</f>
        <v>10684000000</v>
      </c>
      <c r="O9" s="206">
        <f>'فروش - محصول A'!O9+'فروش محصول B'!O9+'فروش محصول C'!O9</f>
        <v>10684000000</v>
      </c>
      <c r="P9" s="206">
        <f>'فروش - محصول A'!P9+'فروش محصول B'!P9+'فروش محصول C'!P9</f>
        <v>10684000000</v>
      </c>
      <c r="Q9" s="207" t="s">
        <v>386</v>
      </c>
      <c r="R9" s="181"/>
      <c r="S9" s="193"/>
      <c r="T9" s="193"/>
      <c r="U9" s="193"/>
      <c r="V9" s="193"/>
    </row>
    <row r="10" spans="3:29" ht="29.25" customHeight="1" thickBot="1">
      <c r="C10" s="109"/>
      <c r="D10" s="46">
        <f>'فروش - محصول A'!D11+'فروش محصول B'!D11+'فروش محصول C'!D11</f>
        <v>7058000000</v>
      </c>
      <c r="E10" s="46">
        <f>'فروش - محصول A'!E11+'فروش محصول B'!E11+'فروش محصول C'!E11</f>
        <v>3841000000</v>
      </c>
      <c r="F10" s="46">
        <f>'فروش - محصول A'!F11+'فروش محصول B'!F11+'فروش محصول C'!F11</f>
        <v>0</v>
      </c>
      <c r="G10" s="46">
        <f>'فروش - محصول A'!G11+'فروش محصول B'!G11+'فروش محصول C'!G11</f>
        <v>0</v>
      </c>
      <c r="H10" s="46">
        <f>'فروش - محصول A'!H11+'فروش محصول B'!H11+'فروش محصول C'!H11</f>
        <v>0</v>
      </c>
      <c r="I10" s="46">
        <f>'فروش - محصول A'!I11+'فروش محصول B'!I11+'فروش محصول C'!I11</f>
        <v>0</v>
      </c>
      <c r="J10" s="46">
        <f>'فروش - محصول A'!J11+'فروش محصول B'!J11+'فروش محصول C'!J11</f>
        <v>3217000000</v>
      </c>
      <c r="K10" s="46">
        <f>'فروش - محصول A'!K11+'فروش محصول B'!K11+'فروش محصول C'!K11</f>
        <v>0</v>
      </c>
      <c r="L10" s="46">
        <f>'فروش - محصول A'!L11+'فروش محصول B'!L11+'فروش محصول C'!L11</f>
        <v>0</v>
      </c>
      <c r="M10" s="46">
        <f>'فروش - محصول A'!M11+'فروش محصول B'!M11+'فروش محصول C'!M11</f>
        <v>0</v>
      </c>
      <c r="N10" s="46">
        <f>'فروش - محصول A'!N11+'فروش محصول B'!N11+'فروش محصول C'!N11</f>
        <v>0</v>
      </c>
      <c r="O10" s="46">
        <f>'فروش - محصول A'!O11+'فروش محصول B'!O11+'فروش محصول C'!O11</f>
        <v>0</v>
      </c>
      <c r="P10" s="46">
        <f>'فروش - محصول A'!P11+'فروش محصول B'!P11+'فروش محصول C'!P11</f>
        <v>0</v>
      </c>
      <c r="Q10" s="121" t="s">
        <v>387</v>
      </c>
      <c r="R10" s="181"/>
      <c r="S10" s="193"/>
      <c r="T10" s="193"/>
      <c r="U10" s="193"/>
      <c r="V10" s="193"/>
    </row>
    <row r="11" spans="3:29" ht="29.25" customHeight="1" thickBot="1">
      <c r="C11" s="109"/>
      <c r="D11" s="206">
        <f>'فروش - محصول A'!D12+'فروش محصول B'!D12+'فروش محصول C'!D12</f>
        <v>162077000000</v>
      </c>
      <c r="E11" s="206">
        <f>'فروش - محصول A'!E12+'فروش محصول B'!E12+'فروش محصول C'!E12</f>
        <v>15364000000</v>
      </c>
      <c r="F11" s="206">
        <f>'فروش - محصول A'!F12+'فروش محصول B'!F12+'فروش محصول C'!F12</f>
        <v>19205000000</v>
      </c>
      <c r="G11" s="206">
        <f>'فروش - محصول A'!G12+'فروش محصول B'!G12+'فروش محصول C'!G12</f>
        <v>17645000000</v>
      </c>
      <c r="H11" s="206">
        <f>'فروش - محصول A'!H12+'فروش محصول B'!H12+'فروش محصول C'!H12</f>
        <v>16085000000</v>
      </c>
      <c r="I11" s="206">
        <f>'فروش - محصول A'!I12+'فروش محصول B'!I12+'فروش محصول C'!I12</f>
        <v>16085000000</v>
      </c>
      <c r="J11" s="206">
        <f>'فروش - محصول A'!J12+'فروش محصول B'!J12+'فروش محصول C'!J12</f>
        <v>12868000000</v>
      </c>
      <c r="K11" s="206">
        <f>'فروش - محصول A'!K12+'فروش محصول B'!K12+'فروش محصول C'!K12</f>
        <v>11405000000</v>
      </c>
      <c r="L11" s="206">
        <f>'فروش - محصول A'!L12+'فروش محصول B'!L12+'فروش محصول C'!L12</f>
        <v>10684000000</v>
      </c>
      <c r="M11" s="206">
        <f>'فروش - محصول A'!M12+'فروش محصول B'!M12+'فروش محصول C'!M12</f>
        <v>10684000000</v>
      </c>
      <c r="N11" s="206">
        <f>'فروش - محصول A'!N12+'فروش محصول B'!N12+'فروش محصول C'!N12</f>
        <v>10684000000</v>
      </c>
      <c r="O11" s="206">
        <f>'فروش - محصول A'!O12+'فروش محصول B'!O12+'فروش محصول C'!O12</f>
        <v>10684000000</v>
      </c>
      <c r="P11" s="206">
        <f>'فروش - محصول A'!P12+'فروش محصول B'!P12+'فروش محصول C'!P12</f>
        <v>10684000000</v>
      </c>
      <c r="Q11" s="39" t="s">
        <v>385</v>
      </c>
      <c r="R11" s="181"/>
      <c r="S11" s="193"/>
      <c r="T11" s="193"/>
      <c r="U11" s="193"/>
      <c r="V11" s="193"/>
    </row>
    <row r="12" spans="3:29" ht="29.25" customHeight="1" thickBot="1"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9"/>
    </row>
    <row r="13" spans="3:29" ht="29.25" customHeight="1" thickTop="1" thickBot="1">
      <c r="C13" s="247" t="s">
        <v>301</v>
      </c>
      <c r="D13" s="247" t="str">
        <f t="shared" ref="D13:O13" si="1">D6</f>
        <v>جمع فروش سال 97</v>
      </c>
      <c r="E13" s="247" t="str">
        <f t="shared" si="1"/>
        <v xml:space="preserve">اسفند </v>
      </c>
      <c r="F13" s="247" t="str">
        <f t="shared" si="1"/>
        <v>بهمن</v>
      </c>
      <c r="G13" s="247" t="str">
        <f t="shared" si="1"/>
        <v>دی</v>
      </c>
      <c r="H13" s="247" t="str">
        <f t="shared" si="1"/>
        <v>اذر</v>
      </c>
      <c r="I13" s="247" t="str">
        <f t="shared" si="1"/>
        <v>آبان</v>
      </c>
      <c r="J13" s="247" t="str">
        <f t="shared" si="1"/>
        <v>مهر</v>
      </c>
      <c r="K13" s="247" t="str">
        <f t="shared" si="1"/>
        <v>شهریور</v>
      </c>
      <c r="L13" s="247" t="str">
        <f t="shared" si="1"/>
        <v>مرداد</v>
      </c>
      <c r="M13" s="247" t="str">
        <f t="shared" si="1"/>
        <v xml:space="preserve">تیر </v>
      </c>
      <c r="N13" s="247" t="str">
        <f t="shared" si="1"/>
        <v>خرداد</v>
      </c>
      <c r="O13" s="247" t="str">
        <f t="shared" si="1"/>
        <v>اردیبهشت</v>
      </c>
      <c r="P13" s="247" t="str">
        <f>P6</f>
        <v xml:space="preserve">فروردین </v>
      </c>
      <c r="Q13" s="247" t="s">
        <v>300</v>
      </c>
      <c r="R13" s="181"/>
      <c r="S13" s="194" t="s">
        <v>331</v>
      </c>
      <c r="T13" s="194" t="s">
        <v>723</v>
      </c>
      <c r="U13" s="194" t="s">
        <v>700</v>
      </c>
      <c r="V13" s="194" t="s">
        <v>722</v>
      </c>
      <c r="W13" s="194" t="s">
        <v>699</v>
      </c>
      <c r="X13" s="194" t="s">
        <v>389</v>
      </c>
    </row>
    <row r="14" spans="3:29" ht="24.95" customHeight="1" thickTop="1" thickBot="1">
      <c r="C14" s="208">
        <f>'فروش - محصول A'!C15+'فروش محصول B'!C15+'فروش محصول C'!C15</f>
        <v>0</v>
      </c>
      <c r="D14" s="208">
        <f>'فروش - محصول A'!D15+'فروش محصول B'!D15+'فروش محصول C'!D15</f>
        <v>10684000000</v>
      </c>
      <c r="E14" s="208">
        <f>'فروش - محصول A'!E15+'فروش محصول B'!E15+'فروش محصول C'!E15</f>
        <v>0</v>
      </c>
      <c r="F14" s="208">
        <f>'فروش - محصول A'!F15+'فروش محصول B'!F15+'فروش محصول C'!F15</f>
        <v>0</v>
      </c>
      <c r="G14" s="208">
        <f>'فروش - محصول A'!G15+'فروش محصول B'!G15+'فروش محصول C'!G15</f>
        <v>0</v>
      </c>
      <c r="H14" s="208">
        <f>'فروش - محصول A'!H15+'فروش محصول B'!H15+'فروش محصول C'!H15</f>
        <v>0</v>
      </c>
      <c r="I14" s="208">
        <f>'فروش - محصول A'!I15+'فروش محصول B'!I15+'فروش محصول C'!I15</f>
        <v>0</v>
      </c>
      <c r="J14" s="208">
        <f>'فروش - محصول A'!J15+'فروش محصول B'!J15+'فروش محصول C'!J15</f>
        <v>0</v>
      </c>
      <c r="K14" s="208">
        <f>'فروش - محصول A'!K15+'فروش محصول B'!K15+'فروش محصول C'!K15</f>
        <v>0</v>
      </c>
      <c r="L14" s="208">
        <f>'فروش - محصول A'!L15+'فروش محصول B'!L15+'فروش محصول C'!L15</f>
        <v>0</v>
      </c>
      <c r="M14" s="208">
        <f>'فروش - محصول A'!M15+'فروش محصول B'!M15+'فروش محصول C'!M15</f>
        <v>0</v>
      </c>
      <c r="N14" s="208">
        <f>'فروش - محصول A'!N15+'فروش محصول B'!N15+'فروش محصول C'!N15</f>
        <v>0</v>
      </c>
      <c r="O14" s="208">
        <f>'فروش - محصول A'!O15+'فروش محصول B'!O15+'فروش محصول C'!O15</f>
        <v>2136800000</v>
      </c>
      <c r="P14" s="208">
        <f>'فروش - محصول A'!P15+'فروش محصول B'!P15+'فروش محصول C'!P15</f>
        <v>8547200000</v>
      </c>
      <c r="Q14" s="120" t="s">
        <v>16</v>
      </c>
      <c r="R14" s="181"/>
      <c r="S14" s="194" t="s">
        <v>391</v>
      </c>
      <c r="T14" s="194">
        <f>V14/V17*100</f>
        <v>76.422934777914193</v>
      </c>
      <c r="U14" s="194">
        <f>X14/X17*100</f>
        <v>32.860442098317385</v>
      </c>
      <c r="V14" s="194">
        <f>'فروش - محصول A'!D12</f>
        <v>123864000000</v>
      </c>
      <c r="W14" s="194">
        <f>V14/X14</f>
        <v>12436144.578313254</v>
      </c>
      <c r="X14" s="194">
        <f>'فروش - محصول A'!D7</f>
        <v>9960</v>
      </c>
    </row>
    <row r="15" spans="3:29" ht="24.95" customHeight="1" thickBot="1">
      <c r="C15" s="208">
        <f>'فروش - محصول A'!C16+'فروش محصول B'!C16+'فروش محصول C'!C16</f>
        <v>0</v>
      </c>
      <c r="D15" s="208">
        <f>'فروش - محصول A'!D16+'فروش محصول B'!D16+'فروش محصول C'!D16</f>
        <v>10684000000</v>
      </c>
      <c r="E15" s="208">
        <f>'فروش - محصول A'!E16+'فروش محصول B'!E16+'فروش محصول C'!E16</f>
        <v>0</v>
      </c>
      <c r="F15" s="208">
        <f>'فروش - محصول A'!F16+'فروش محصول B'!F16+'فروش محصول C'!F16</f>
        <v>0</v>
      </c>
      <c r="G15" s="208">
        <f>'فروش - محصول A'!G16+'فروش محصول B'!G16+'فروش محصول C'!G16</f>
        <v>0</v>
      </c>
      <c r="H15" s="208">
        <f>'فروش - محصول A'!H16+'فروش محصول B'!H16+'فروش محصول C'!H16</f>
        <v>0</v>
      </c>
      <c r="I15" s="208">
        <f>'فروش - محصول A'!I16+'فروش محصول B'!I16+'فروش محصول C'!I16</f>
        <v>0</v>
      </c>
      <c r="J15" s="208">
        <f>'فروش - محصول A'!J16+'فروش محصول B'!J16+'فروش محصول C'!J16</f>
        <v>0</v>
      </c>
      <c r="K15" s="208">
        <f>'فروش - محصول A'!K16+'فروش محصول B'!K16+'فروش محصول C'!K16</f>
        <v>0</v>
      </c>
      <c r="L15" s="208">
        <f>'فروش - محصول A'!L16+'فروش محصول B'!L16+'فروش محصول C'!L16</f>
        <v>0</v>
      </c>
      <c r="M15" s="208">
        <f>'فروش - محصول A'!M16+'فروش محصول B'!M16+'فروش محصول C'!M16</f>
        <v>0</v>
      </c>
      <c r="N15" s="208">
        <f>'فروش - محصول A'!N16+'فروش محصول B'!N16+'فروش محصول C'!N16</f>
        <v>2136800000</v>
      </c>
      <c r="O15" s="208">
        <f>'فروش - محصول A'!O16+'فروش محصول B'!O16+'فروش محصول C'!O16</f>
        <v>8547200000</v>
      </c>
      <c r="P15" s="208">
        <f>'فروش - محصول A'!P16+'فروش محصول B'!P16+'فروش محصول C'!P16</f>
        <v>0</v>
      </c>
      <c r="Q15" s="121" t="s">
        <v>17</v>
      </c>
      <c r="R15" s="181"/>
      <c r="S15" s="194" t="s">
        <v>392</v>
      </c>
      <c r="T15" s="194">
        <f>V15/V17*100</f>
        <v>16.350253274678085</v>
      </c>
      <c r="U15" s="194">
        <f>X15/X17*100</f>
        <v>36.291652919828437</v>
      </c>
      <c r="V15" s="194">
        <f>'فروش محصول B'!D12</f>
        <v>26500000000</v>
      </c>
      <c r="W15" s="194">
        <f t="shared" ref="W15:W17" si="2">V15/X15</f>
        <v>2409090.9090909092</v>
      </c>
      <c r="X15" s="194">
        <f>'فروش محصول B'!D7</f>
        <v>11000</v>
      </c>
    </row>
    <row r="16" spans="3:29" ht="24.95" customHeight="1" thickBot="1">
      <c r="C16" s="208">
        <f>'فروش - محصول A'!C17+'فروش محصول B'!C17+'فروش محصول C'!C17</f>
        <v>0</v>
      </c>
      <c r="D16" s="208">
        <f>'فروش - محصول A'!D17+'فروش محصول B'!D17+'فروش محصول C'!D17</f>
        <v>10684000000</v>
      </c>
      <c r="E16" s="208">
        <f>'فروش - محصول A'!E17+'فروش محصول B'!E17+'فروش محصول C'!E17</f>
        <v>0</v>
      </c>
      <c r="F16" s="208">
        <f>'فروش - محصول A'!F17+'فروش محصول B'!F17+'فروش محصول C'!F17</f>
        <v>0</v>
      </c>
      <c r="G16" s="208">
        <f>'فروش - محصول A'!G17+'فروش محصول B'!G17+'فروش محصول C'!G17</f>
        <v>0</v>
      </c>
      <c r="H16" s="208">
        <f>'فروش - محصول A'!H17+'فروش محصول B'!H17+'فروش محصول C'!H17</f>
        <v>0</v>
      </c>
      <c r="I16" s="208">
        <f>'فروش - محصول A'!I17+'فروش محصول B'!I17+'فروش محصول C'!I17</f>
        <v>0</v>
      </c>
      <c r="J16" s="208">
        <f>'فروش - محصول A'!J17+'فروش محصول B'!J17+'فروش محصول C'!J17</f>
        <v>0</v>
      </c>
      <c r="K16" s="208">
        <f>'فروش - محصول A'!K17+'فروش محصول B'!K17+'فروش محصول C'!K17</f>
        <v>0</v>
      </c>
      <c r="L16" s="208">
        <f>'فروش - محصول A'!L17+'فروش محصول B'!L17+'فروش محصول C'!L17</f>
        <v>0</v>
      </c>
      <c r="M16" s="208">
        <f>'فروش - محصول A'!M17+'فروش محصول B'!M17+'فروش محصول C'!M17</f>
        <v>2136800000</v>
      </c>
      <c r="N16" s="208">
        <f>'فروش - محصول A'!N17+'فروش محصول B'!N17+'فروش محصول C'!N17</f>
        <v>8547200000</v>
      </c>
      <c r="O16" s="208">
        <f>'فروش - محصول A'!O17+'فروش محصول B'!O17+'فروش محصول C'!O17</f>
        <v>0</v>
      </c>
      <c r="P16" s="208">
        <f>'فروش - محصول A'!P17+'فروش محصول B'!P17+'فروش محصول C'!P17</f>
        <v>0</v>
      </c>
      <c r="Q16" s="121" t="s">
        <v>18</v>
      </c>
      <c r="R16" s="181"/>
      <c r="S16" s="194" t="s">
        <v>393</v>
      </c>
      <c r="T16" s="194">
        <f>V16/V17*100</f>
        <v>7.2268119474077128</v>
      </c>
      <c r="U16" s="194">
        <f>X16/X17*100</f>
        <v>30.847904981854175</v>
      </c>
      <c r="V16" s="194">
        <f>'فروش محصول C'!D12</f>
        <v>11713000000</v>
      </c>
      <c r="W16" s="194">
        <f t="shared" si="2"/>
        <v>1252727.2727272727</v>
      </c>
      <c r="X16" s="194">
        <f>'فروش محصول C'!D7</f>
        <v>9350</v>
      </c>
    </row>
    <row r="17" spans="3:24" ht="24.95" customHeight="1" thickBot="1">
      <c r="C17" s="208">
        <f>'فروش - محصول A'!C18+'فروش محصول B'!C18+'فروش محصول C'!C18</f>
        <v>0</v>
      </c>
      <c r="D17" s="208">
        <f>'فروش - محصول A'!D18+'فروش محصول B'!D18+'فروش محصول C'!D18</f>
        <v>10684000000</v>
      </c>
      <c r="E17" s="208">
        <f>'فروش - محصول A'!E18+'فروش محصول B'!E18+'فروش محصول C'!E18</f>
        <v>0</v>
      </c>
      <c r="F17" s="208">
        <f>'فروش - محصول A'!F18+'فروش محصول B'!F18+'فروش محصول C'!F18</f>
        <v>0</v>
      </c>
      <c r="G17" s="208">
        <f>'فروش - محصول A'!G18+'فروش محصول B'!G18+'فروش محصول C'!G18</f>
        <v>0</v>
      </c>
      <c r="H17" s="208">
        <f>'فروش - محصول A'!H18+'فروش محصول B'!H18+'فروش محصول C'!H18</f>
        <v>0</v>
      </c>
      <c r="I17" s="208">
        <f>'فروش - محصول A'!I18+'فروش محصول B'!I18+'فروش محصول C'!I18</f>
        <v>0</v>
      </c>
      <c r="J17" s="208">
        <f>'فروش - محصول A'!J18+'فروش محصول B'!J18+'فروش محصول C'!J18</f>
        <v>0</v>
      </c>
      <c r="K17" s="208">
        <f>'فروش - محصول A'!K18+'فروش محصول B'!K18+'فروش محصول C'!K18</f>
        <v>0</v>
      </c>
      <c r="L17" s="208">
        <f>'فروش - محصول A'!L18+'فروش محصول B'!L18+'فروش محصول C'!L18</f>
        <v>2136800000</v>
      </c>
      <c r="M17" s="208">
        <f>'فروش - محصول A'!M18+'فروش محصول B'!M18+'فروش محصول C'!M18</f>
        <v>8547200000</v>
      </c>
      <c r="N17" s="208">
        <f>'فروش - محصول A'!N18+'فروش محصول B'!N18+'فروش محصول C'!N18</f>
        <v>0</v>
      </c>
      <c r="O17" s="208">
        <f>'فروش - محصول A'!O18+'فروش محصول B'!O18+'فروش محصول C'!O18</f>
        <v>0</v>
      </c>
      <c r="P17" s="208">
        <f>'فروش - محصول A'!P18+'فروش محصول B'!P18+'فروش محصول C'!P18</f>
        <v>0</v>
      </c>
      <c r="Q17" s="121" t="s">
        <v>19</v>
      </c>
      <c r="R17" s="181"/>
      <c r="S17" s="194" t="s">
        <v>12</v>
      </c>
      <c r="T17" s="194">
        <f>SUM(T14:T16)</f>
        <v>99.999999999999986</v>
      </c>
      <c r="U17" s="194">
        <f>SUM(U14:U16)</f>
        <v>99.999999999999986</v>
      </c>
      <c r="V17" s="194">
        <f>SUM(V14:V16)</f>
        <v>162077000000</v>
      </c>
      <c r="W17" s="194">
        <f t="shared" si="2"/>
        <v>5347311.118442758</v>
      </c>
      <c r="X17" s="194">
        <f>SUM(X14:X16)</f>
        <v>30310</v>
      </c>
    </row>
    <row r="18" spans="3:24" ht="24.95" customHeight="1" thickBot="1">
      <c r="C18" s="208">
        <f>'فروش - محصول A'!C19+'فروش محصول B'!C19+'فروش محصول C'!C19</f>
        <v>0</v>
      </c>
      <c r="D18" s="208">
        <f>'فروش - محصول A'!D19+'فروش محصول B'!D19+'فروش محصول C'!D19</f>
        <v>10684000000</v>
      </c>
      <c r="E18" s="208">
        <f>'فروش - محصول A'!E19+'فروش محصول B'!E19+'فروش محصول C'!E19</f>
        <v>0</v>
      </c>
      <c r="F18" s="208">
        <f>'فروش - محصول A'!F19+'فروش محصول B'!F19+'فروش محصول C'!F19</f>
        <v>0</v>
      </c>
      <c r="G18" s="208">
        <f>'فروش - محصول A'!G19+'فروش محصول B'!G19+'فروش محصول C'!G19</f>
        <v>0</v>
      </c>
      <c r="H18" s="208">
        <f>'فروش - محصول A'!H19+'فروش محصول B'!H19+'فروش محصول C'!H19</f>
        <v>0</v>
      </c>
      <c r="I18" s="208">
        <f>'فروش - محصول A'!I19+'فروش محصول B'!I19+'فروش محصول C'!I19</f>
        <v>0</v>
      </c>
      <c r="J18" s="208">
        <f>'فروش - محصول A'!J19+'فروش محصول B'!J19+'فروش محصول C'!J19</f>
        <v>0</v>
      </c>
      <c r="K18" s="208">
        <f>'فروش - محصول A'!K19+'فروش محصول B'!K19+'فروش محصول C'!K19</f>
        <v>2136800000</v>
      </c>
      <c r="L18" s="208">
        <f>'فروش - محصول A'!L19+'فروش محصول B'!L19+'فروش محصول C'!L19</f>
        <v>8547200000</v>
      </c>
      <c r="M18" s="208">
        <f>'فروش - محصول A'!M19+'فروش محصول B'!M19+'فروش محصول C'!M19</f>
        <v>0</v>
      </c>
      <c r="N18" s="208">
        <f>'فروش - محصول A'!N19+'فروش محصول B'!N19+'فروش محصول C'!N19</f>
        <v>0</v>
      </c>
      <c r="O18" s="208">
        <f>'فروش - محصول A'!O19+'فروش محصول B'!O19+'فروش محصول C'!O19</f>
        <v>0</v>
      </c>
      <c r="P18" s="208">
        <f>'فروش - محصول A'!P19+'فروش محصول B'!P19+'فروش محصول C'!P19</f>
        <v>0</v>
      </c>
      <c r="Q18" s="121" t="s">
        <v>20</v>
      </c>
      <c r="R18" s="181"/>
      <c r="S18" s="209"/>
      <c r="T18" s="209"/>
      <c r="U18" s="209"/>
      <c r="V18" s="209"/>
      <c r="W18" s="209"/>
      <c r="X18" s="209"/>
    </row>
    <row r="19" spans="3:24" ht="24.95" customHeight="1" thickBot="1">
      <c r="C19" s="208">
        <f>'فروش - محصول A'!C20+'فروش محصول B'!C20+'فروش محصول C'!C20</f>
        <v>0</v>
      </c>
      <c r="D19" s="208">
        <f>'فروش - محصول A'!D20+'فروش محصول B'!D20+'فروش محصول C'!D20</f>
        <v>11405000000</v>
      </c>
      <c r="E19" s="208">
        <f>'فروش - محصول A'!E20+'فروش محصول B'!E20+'فروش محصول C'!E20</f>
        <v>0</v>
      </c>
      <c r="F19" s="208">
        <f>'فروش - محصول A'!F20+'فروش محصول B'!F20+'فروش محصول C'!F20</f>
        <v>0</v>
      </c>
      <c r="G19" s="208">
        <f>'فروش - محصول A'!G20+'فروش محصول B'!G20+'فروش محصول C'!G20</f>
        <v>0</v>
      </c>
      <c r="H19" s="208">
        <f>'فروش - محصول A'!H20+'فروش محصول B'!H20+'فروش محصول C'!H20</f>
        <v>0</v>
      </c>
      <c r="I19" s="208">
        <f>'فروش - محصول A'!I20+'فروش محصول B'!I20+'فروش محصول C'!I20</f>
        <v>0</v>
      </c>
      <c r="J19" s="208">
        <f>'فروش - محصول A'!J20+'فروش محصول B'!J20+'فروش محصول C'!J20</f>
        <v>2281000000</v>
      </c>
      <c r="K19" s="208">
        <f>'فروش - محصول A'!K20+'فروش محصول B'!K20+'فروش محصول C'!K20</f>
        <v>9124000000</v>
      </c>
      <c r="L19" s="208">
        <f>'فروش - محصول A'!L20+'فروش محصول B'!L20+'فروش محصول C'!L20</f>
        <v>0</v>
      </c>
      <c r="M19" s="208">
        <f>'فروش - محصول A'!M20+'فروش محصول B'!M20+'فروش محصول C'!M20</f>
        <v>0</v>
      </c>
      <c r="N19" s="208">
        <f>'فروش - محصول A'!N20+'فروش محصول B'!N20+'فروش محصول C'!N20</f>
        <v>0</v>
      </c>
      <c r="O19" s="208">
        <f>'فروش - محصول A'!O20+'فروش محصول B'!O20+'فروش محصول C'!O20</f>
        <v>0</v>
      </c>
      <c r="P19" s="208">
        <f>'فروش - محصول A'!P20+'فروش محصول B'!P20+'فروش محصول C'!P20</f>
        <v>0</v>
      </c>
      <c r="Q19" s="121" t="s">
        <v>21</v>
      </c>
      <c r="R19" s="181"/>
      <c r="S19" s="193"/>
      <c r="T19" s="193"/>
      <c r="U19" s="193"/>
      <c r="V19" s="193"/>
      <c r="W19" s="193"/>
      <c r="X19" s="193"/>
    </row>
    <row r="20" spans="3:24" ht="24.95" customHeight="1" thickBot="1">
      <c r="C20" s="208">
        <f>'فروش - محصول A'!C21+'فروش محصول B'!C21+'فروش محصول C'!C21</f>
        <v>0</v>
      </c>
      <c r="D20" s="208">
        <f>'فروش - محصول A'!D21+'فروش محصول B'!D21+'فروش محصول C'!D21</f>
        <v>12868000000</v>
      </c>
      <c r="E20" s="208">
        <f>'فروش - محصول A'!E21+'فروش محصول B'!E21+'فروش محصول C'!E21</f>
        <v>0</v>
      </c>
      <c r="F20" s="208">
        <f>'فروش - محصول A'!F21+'فروش محصول B'!F21+'فروش محصول C'!F21</f>
        <v>0</v>
      </c>
      <c r="G20" s="208">
        <f>'فروش - محصول A'!G21+'فروش محصول B'!G21+'فروش محصول C'!G21</f>
        <v>0</v>
      </c>
      <c r="H20" s="208">
        <f>'فروش - محصول A'!H21+'فروش محصول B'!H21+'فروش محصول C'!H21</f>
        <v>0</v>
      </c>
      <c r="I20" s="208">
        <f>'فروش - محصول A'!I21+'فروش محصول B'!I21+'فروش محصول C'!I21</f>
        <v>2573600000</v>
      </c>
      <c r="J20" s="208">
        <f>'فروش - محصول A'!J21+'فروش محصول B'!J21+'فروش محصول C'!J21</f>
        <v>10294400000</v>
      </c>
      <c r="K20" s="208">
        <f>'فروش - محصول A'!K21+'فروش محصول B'!K21+'فروش محصول C'!K21</f>
        <v>0</v>
      </c>
      <c r="L20" s="208">
        <f>'فروش - محصول A'!L21+'فروش محصول B'!L21+'فروش محصول C'!L21</f>
        <v>0</v>
      </c>
      <c r="M20" s="208">
        <f>'فروش - محصول A'!M21+'فروش محصول B'!M21+'فروش محصول C'!M21</f>
        <v>0</v>
      </c>
      <c r="N20" s="208">
        <f>'فروش - محصول A'!N21+'فروش محصول B'!N21+'فروش محصول C'!N21</f>
        <v>0</v>
      </c>
      <c r="O20" s="208">
        <f>'فروش - محصول A'!O21+'فروش محصول B'!O21+'فروش محصول C'!O21</f>
        <v>0</v>
      </c>
      <c r="P20" s="208">
        <f>'فروش - محصول A'!P21+'فروش محصول B'!P21+'فروش محصول C'!P21</f>
        <v>0</v>
      </c>
      <c r="Q20" s="121" t="s">
        <v>22</v>
      </c>
      <c r="R20" s="181"/>
      <c r="S20" s="193"/>
      <c r="T20" s="193"/>
      <c r="U20" s="193"/>
      <c r="V20" s="193"/>
      <c r="W20" s="193"/>
      <c r="X20" s="193"/>
    </row>
    <row r="21" spans="3:24" ht="24.95" customHeight="1" thickBot="1">
      <c r="C21" s="208">
        <f>'فروش - محصول A'!C22+'فروش محصول B'!C22+'فروش محصول C'!C22</f>
        <v>0</v>
      </c>
      <c r="D21" s="208">
        <f>'فروش - محصول A'!D22+'فروش محصول B'!D22+'فروش محصول C'!D22</f>
        <v>16085000000</v>
      </c>
      <c r="E21" s="208">
        <f>'فروش - محصول A'!E22+'فروش محصول B'!E22+'فروش محصول C'!E22</f>
        <v>0</v>
      </c>
      <c r="F21" s="208">
        <f>'فروش - محصول A'!F22+'فروش محصول B'!F22+'فروش محصول C'!F22</f>
        <v>0</v>
      </c>
      <c r="G21" s="208">
        <f>'فروش - محصول A'!G22+'فروش محصول B'!G22+'فروش محصول C'!G22</f>
        <v>0</v>
      </c>
      <c r="H21" s="208">
        <f>'فروش - محصول A'!H22+'فروش محصول B'!H22+'فروش محصول C'!H22</f>
        <v>3217000000</v>
      </c>
      <c r="I21" s="208">
        <f>'فروش - محصول A'!I22+'فروش محصول B'!I22+'فروش محصول C'!I22</f>
        <v>12868000000</v>
      </c>
      <c r="J21" s="208">
        <f>'فروش - محصول A'!J22+'فروش محصول B'!J22+'فروش محصول C'!J22</f>
        <v>0</v>
      </c>
      <c r="K21" s="208">
        <f>'فروش - محصول A'!K22+'فروش محصول B'!K22+'فروش محصول C'!K22</f>
        <v>0</v>
      </c>
      <c r="L21" s="208">
        <f>'فروش - محصول A'!L22+'فروش محصول B'!L22+'فروش محصول C'!L22</f>
        <v>0</v>
      </c>
      <c r="M21" s="208">
        <f>'فروش - محصول A'!M22+'فروش محصول B'!M22+'فروش محصول C'!M22</f>
        <v>0</v>
      </c>
      <c r="N21" s="208">
        <f>'فروش - محصول A'!N22+'فروش محصول B'!N22+'فروش محصول C'!N22</f>
        <v>0</v>
      </c>
      <c r="O21" s="208">
        <f>'فروش - محصول A'!O22+'فروش محصول B'!O22+'فروش محصول C'!O22</f>
        <v>0</v>
      </c>
      <c r="P21" s="208">
        <f>'فروش - محصول A'!P22+'فروش محصول B'!P22+'فروش محصول C'!P22</f>
        <v>0</v>
      </c>
      <c r="Q21" s="121" t="s">
        <v>23</v>
      </c>
      <c r="R21" s="181"/>
    </row>
    <row r="22" spans="3:24" ht="24.95" customHeight="1" thickBot="1">
      <c r="C22" s="208">
        <f>'فروش - محصول A'!C23+'فروش محصول B'!C23+'فروش محصول C'!C23</f>
        <v>0</v>
      </c>
      <c r="D22" s="208">
        <f>'فروش - محصول A'!D23+'فروش محصول B'!D23+'فروش محصول C'!D23</f>
        <v>16085000000</v>
      </c>
      <c r="E22" s="208">
        <f>'فروش - محصول A'!E23+'فروش محصول B'!E23+'فروش محصول C'!E23</f>
        <v>0</v>
      </c>
      <c r="F22" s="208">
        <f>'فروش - محصول A'!F23+'فروش محصول B'!F23+'فروش محصول C'!F23</f>
        <v>0</v>
      </c>
      <c r="G22" s="208">
        <f>'فروش - محصول A'!G23+'فروش محصول B'!G23+'فروش محصول C'!G23</f>
        <v>3217000000</v>
      </c>
      <c r="H22" s="208">
        <f>'فروش - محصول A'!H23+'فروش محصول B'!H23+'فروش محصول C'!H23</f>
        <v>12868000000</v>
      </c>
      <c r="I22" s="208">
        <f>'فروش - محصول A'!I23+'فروش محصول B'!I23+'فروش محصول C'!I23</f>
        <v>0</v>
      </c>
      <c r="J22" s="208">
        <f>'فروش - محصول A'!J23+'فروش محصول B'!J23+'فروش محصول C'!J23</f>
        <v>0</v>
      </c>
      <c r="K22" s="208">
        <f>'فروش - محصول A'!K23+'فروش محصول B'!K23+'فروش محصول C'!K23</f>
        <v>0</v>
      </c>
      <c r="L22" s="208">
        <f>'فروش - محصول A'!L23+'فروش محصول B'!L23+'فروش محصول C'!L23</f>
        <v>0</v>
      </c>
      <c r="M22" s="208">
        <f>'فروش - محصول A'!M23+'فروش محصول B'!M23+'فروش محصول C'!M23</f>
        <v>0</v>
      </c>
      <c r="N22" s="208">
        <f>'فروش - محصول A'!N23+'فروش محصول B'!N23+'فروش محصول C'!N23</f>
        <v>0</v>
      </c>
      <c r="O22" s="208">
        <f>'فروش - محصول A'!O23+'فروش محصول B'!O23+'فروش محصول C'!O23</f>
        <v>0</v>
      </c>
      <c r="P22" s="208">
        <f>'فروش - محصول A'!P23+'فروش محصول B'!P23+'فروش محصول C'!P23</f>
        <v>0</v>
      </c>
      <c r="Q22" s="121" t="s">
        <v>24</v>
      </c>
      <c r="R22" s="181"/>
    </row>
    <row r="23" spans="3:24" ht="24.95" customHeight="1" thickBot="1">
      <c r="C23" s="208">
        <f>'فروش - محصول A'!C24+'فروش محصول B'!C24+'فروش محصول C'!C24</f>
        <v>0</v>
      </c>
      <c r="D23" s="208">
        <f>'فروش - محصول A'!D24+'فروش محصول B'!D24+'فروش محصول C'!D24</f>
        <v>17645000000</v>
      </c>
      <c r="E23" s="208">
        <f>'فروش - محصول A'!E24+'فروش محصول B'!E24+'فروش محصول C'!E24</f>
        <v>0</v>
      </c>
      <c r="F23" s="208">
        <f>'فروش - محصول A'!F24+'فروش محصول B'!F24+'فروش محصول C'!F24</f>
        <v>3529000000</v>
      </c>
      <c r="G23" s="208">
        <f>'فروش - محصول A'!G24+'فروش محصول B'!G24+'فروش محصول C'!G24</f>
        <v>14116000000</v>
      </c>
      <c r="H23" s="208">
        <f>'فروش - محصول A'!H24+'فروش محصول B'!H24+'فروش محصول C'!H24</f>
        <v>0</v>
      </c>
      <c r="I23" s="208">
        <f>'فروش - محصول A'!I24+'فروش محصول B'!I24+'فروش محصول C'!I24</f>
        <v>0</v>
      </c>
      <c r="J23" s="208">
        <f>'فروش - محصول A'!J24+'فروش محصول B'!J24+'فروش محصول C'!J24</f>
        <v>0</v>
      </c>
      <c r="K23" s="208">
        <f>'فروش - محصول A'!K24+'فروش محصول B'!K24+'فروش محصول C'!K24</f>
        <v>0</v>
      </c>
      <c r="L23" s="208">
        <f>'فروش - محصول A'!L24+'فروش محصول B'!L24+'فروش محصول C'!L24</f>
        <v>0</v>
      </c>
      <c r="M23" s="208">
        <f>'فروش - محصول A'!M24+'فروش محصول B'!M24+'فروش محصول C'!M24</f>
        <v>0</v>
      </c>
      <c r="N23" s="208">
        <f>'فروش - محصول A'!N24+'فروش محصول B'!N24+'فروش محصول C'!N24</f>
        <v>0</v>
      </c>
      <c r="O23" s="208">
        <f>'فروش - محصول A'!O24+'فروش محصول B'!O24+'فروش محصول C'!O24</f>
        <v>0</v>
      </c>
      <c r="P23" s="208">
        <f>'فروش - محصول A'!P24+'فروش محصول B'!P24+'فروش محصول C'!P24</f>
        <v>0</v>
      </c>
      <c r="Q23" s="121" t="s">
        <v>25</v>
      </c>
      <c r="R23" s="181"/>
    </row>
    <row r="24" spans="3:24" ht="50.25" customHeight="1" thickBot="1">
      <c r="C24" s="208">
        <f>'فروش - محصول A'!C25+'فروش محصول B'!C25+'فروش محصول C'!C25</f>
        <v>0</v>
      </c>
      <c r="D24" s="208">
        <f>'فروش - محصول A'!D25+'فروش محصول B'!D25+'فروش محصول C'!D25</f>
        <v>19205000000</v>
      </c>
      <c r="E24" s="208">
        <f>'فروش - محصول A'!E25+'فروش محصول B'!E25+'فروش محصول C'!E25</f>
        <v>3841000000</v>
      </c>
      <c r="F24" s="208">
        <f>'فروش - محصول A'!F25+'فروش محصول B'!F25+'فروش محصول C'!F25</f>
        <v>15364000000</v>
      </c>
      <c r="G24" s="208">
        <f>'فروش - محصول A'!G25+'فروش محصول B'!G25+'فروش محصول C'!G25</f>
        <v>0</v>
      </c>
      <c r="H24" s="208">
        <f>'فروش - محصول A'!H25+'فروش محصول B'!H25+'فروش محصول C'!H25</f>
        <v>0</v>
      </c>
      <c r="I24" s="208">
        <f>'فروش - محصول A'!I25+'فروش محصول B'!I25+'فروش محصول C'!I25</f>
        <v>0</v>
      </c>
      <c r="J24" s="208">
        <f>'فروش - محصول A'!J25+'فروش محصول B'!J25+'فروش محصول C'!J25</f>
        <v>0</v>
      </c>
      <c r="K24" s="208">
        <f>'فروش - محصول A'!K25+'فروش محصول B'!K25+'فروش محصول C'!K25</f>
        <v>0</v>
      </c>
      <c r="L24" s="208">
        <f>'فروش - محصول A'!L25+'فروش محصول B'!L25+'فروش محصول C'!L25</f>
        <v>0</v>
      </c>
      <c r="M24" s="208">
        <f>'فروش - محصول A'!M25+'فروش محصول B'!M25+'فروش محصول C'!M25</f>
        <v>0</v>
      </c>
      <c r="N24" s="208">
        <f>'فروش - محصول A'!N25+'فروش محصول B'!N25+'فروش محصول C'!N25</f>
        <v>0</v>
      </c>
      <c r="O24" s="208">
        <f>'فروش - محصول A'!O25+'فروش محصول B'!O25+'فروش محصول C'!O25</f>
        <v>0</v>
      </c>
      <c r="P24" s="208">
        <f>'فروش - محصول A'!P25+'فروش محصول B'!P25+'فروش محصول C'!P25</f>
        <v>0</v>
      </c>
      <c r="Q24" s="121" t="s">
        <v>26</v>
      </c>
      <c r="R24" s="181"/>
    </row>
    <row r="25" spans="3:24" ht="30" customHeight="1" thickBot="1">
      <c r="C25" s="208">
        <f>'فروش - محصول A'!C26+'فروش محصول B'!C26+'فروش محصول C'!C26</f>
        <v>3072800000</v>
      </c>
      <c r="D25" s="208">
        <f>'فروش - محصول A'!D26+'فروش محصول B'!D26+'فروش محصول C'!D26</f>
        <v>12291200000</v>
      </c>
      <c r="E25" s="208">
        <f>'فروش - محصول A'!E26+'فروش محصول B'!E26+'فروش محصول C'!E26</f>
        <v>12291200000</v>
      </c>
      <c r="F25" s="208">
        <f>'فروش - محصول A'!F26+'فروش محصول B'!F26+'فروش محصول C'!F26</f>
        <v>0</v>
      </c>
      <c r="G25" s="208">
        <f>'فروش - محصول A'!G26+'فروش محصول B'!G26+'فروش محصول C'!G26</f>
        <v>0</v>
      </c>
      <c r="H25" s="208">
        <f>'فروش - محصول A'!H26+'فروش محصول B'!H26+'فروش محصول C'!H26</f>
        <v>0</v>
      </c>
      <c r="I25" s="208">
        <f>'فروش - محصول A'!I26+'فروش محصول B'!I26+'فروش محصول C'!I26</f>
        <v>0</v>
      </c>
      <c r="J25" s="208">
        <f>'فروش - محصول A'!J26+'فروش محصول B'!J26+'فروش محصول C'!J26</f>
        <v>0</v>
      </c>
      <c r="K25" s="208">
        <f>'فروش - محصول A'!K26+'فروش محصول B'!K26+'فروش محصول C'!K26</f>
        <v>0</v>
      </c>
      <c r="L25" s="208">
        <f>'فروش - محصول A'!L26+'فروش محصول B'!L26+'فروش محصول C'!L26</f>
        <v>0</v>
      </c>
      <c r="M25" s="208">
        <f>'فروش - محصول A'!M26+'فروش محصول B'!M26+'فروش محصول C'!M26</f>
        <v>0</v>
      </c>
      <c r="N25" s="208">
        <f>'فروش - محصول A'!N26+'فروش محصول B'!N26+'فروش محصول C'!N26</f>
        <v>0</v>
      </c>
      <c r="O25" s="208">
        <f>'فروش - محصول A'!O26+'فروش محصول B'!O26+'فروش محصول C'!O26</f>
        <v>0</v>
      </c>
      <c r="P25" s="208">
        <f>'فروش - محصول A'!P26+'فروش محصول B'!P26+'فروش محصول C'!P26</f>
        <v>0</v>
      </c>
      <c r="Q25" s="121" t="s">
        <v>27</v>
      </c>
      <c r="R25" s="181"/>
    </row>
    <row r="26" spans="3:24" ht="24" thickBot="1">
      <c r="C26" s="245">
        <f t="shared" ref="C26:O26" si="3">SUM(C14:C25)</f>
        <v>3072800000</v>
      </c>
      <c r="D26" s="245">
        <f t="shared" si="3"/>
        <v>159004200000</v>
      </c>
      <c r="E26" s="245">
        <f t="shared" si="3"/>
        <v>16132200000</v>
      </c>
      <c r="F26" s="245">
        <f t="shared" si="3"/>
        <v>18893000000</v>
      </c>
      <c r="G26" s="245">
        <f t="shared" si="3"/>
        <v>17333000000</v>
      </c>
      <c r="H26" s="245">
        <f t="shared" si="3"/>
        <v>16085000000</v>
      </c>
      <c r="I26" s="245">
        <f t="shared" si="3"/>
        <v>15441600000</v>
      </c>
      <c r="J26" s="245">
        <f t="shared" si="3"/>
        <v>12575400000</v>
      </c>
      <c r="K26" s="245">
        <f t="shared" si="3"/>
        <v>11260800000</v>
      </c>
      <c r="L26" s="245">
        <f t="shared" si="3"/>
        <v>10684000000</v>
      </c>
      <c r="M26" s="245">
        <f t="shared" si="3"/>
        <v>10684000000</v>
      </c>
      <c r="N26" s="245">
        <f t="shared" si="3"/>
        <v>10684000000</v>
      </c>
      <c r="O26" s="245">
        <f t="shared" si="3"/>
        <v>10684000000</v>
      </c>
      <c r="P26" s="245">
        <f>SUM(P14:P25)</f>
        <v>8547200000</v>
      </c>
      <c r="Q26" s="246" t="s">
        <v>28</v>
      </c>
      <c r="R26" s="109"/>
    </row>
    <row r="27" spans="3:24" ht="24" thickBot="1">
      <c r="C27" s="127" t="s">
        <v>302</v>
      </c>
      <c r="D27" s="597" t="s">
        <v>303</v>
      </c>
      <c r="E27" s="598"/>
      <c r="F27" s="598"/>
      <c r="G27" s="598"/>
      <c r="H27" s="598"/>
      <c r="I27" s="598"/>
      <c r="J27" s="598"/>
      <c r="K27" s="598"/>
      <c r="L27" s="598"/>
      <c r="M27" s="598"/>
      <c r="N27" s="598"/>
      <c r="O27" s="598"/>
      <c r="P27" s="598"/>
      <c r="Q27" s="599"/>
      <c r="R27" s="109"/>
    </row>
  </sheetData>
  <mergeCells count="2">
    <mergeCell ref="D27:Q27"/>
    <mergeCell ref="D2:Q5"/>
  </mergeCells>
  <hyperlinks>
    <hyperlink ref="D2:Q5" r:id="rId1" location="'فهرست مطالب'!A1" display="فروش محصولات"/>
  </hyperlinks>
  <pageMargins left="0.7" right="0.7" top="0.75" bottom="0.75" header="0.3" footer="0.3"/>
  <pageSetup paperSize="9" orientation="portrait" verticalDpi="300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0"/>
  </sheetPr>
  <dimension ref="C1:X24"/>
  <sheetViews>
    <sheetView topLeftCell="K1" zoomScale="70" zoomScaleNormal="70" workbookViewId="0">
      <selection activeCell="O17" sqref="O17"/>
    </sheetView>
  </sheetViews>
  <sheetFormatPr defaultColWidth="9.140625" defaultRowHeight="26.25"/>
  <cols>
    <col min="1" max="2" width="9.140625" style="166"/>
    <col min="3" max="3" width="28.7109375" style="166" bestFit="1" customWidth="1"/>
    <col min="4" max="4" width="18.5703125" style="166" bestFit="1" customWidth="1"/>
    <col min="5" max="5" width="11" style="166" bestFit="1" customWidth="1"/>
    <col min="6" max="6" width="25.85546875" style="166" bestFit="1" customWidth="1"/>
    <col min="7" max="7" width="18.5703125" style="166" bestFit="1" customWidth="1"/>
    <col min="8" max="8" width="7.85546875" style="166" bestFit="1" customWidth="1"/>
    <col min="9" max="9" width="28.140625" style="166" bestFit="1" customWidth="1"/>
    <col min="10" max="10" width="18.5703125" style="166" bestFit="1" customWidth="1"/>
    <col min="11" max="11" width="20.5703125" style="166" bestFit="1" customWidth="1"/>
    <col min="12" max="12" width="28.140625" style="166" bestFit="1" customWidth="1"/>
    <col min="13" max="13" width="18.5703125" style="166" bestFit="1" customWidth="1"/>
    <col min="14" max="14" width="31.7109375" style="166" bestFit="1" customWidth="1"/>
    <col min="15" max="15" width="34.85546875" style="166" bestFit="1" customWidth="1"/>
    <col min="16" max="16" width="31.42578125" style="166" bestFit="1" customWidth="1"/>
    <col min="17" max="19" width="28.140625" style="166" bestFit="1" customWidth="1"/>
    <col min="20" max="20" width="13" style="166" bestFit="1" customWidth="1"/>
    <col min="21" max="21" width="25.85546875" style="166" bestFit="1" customWidth="1"/>
    <col min="22" max="22" width="6" style="166" bestFit="1" customWidth="1"/>
    <col min="23" max="23" width="11" style="166" bestFit="1" customWidth="1"/>
    <col min="24" max="24" width="17.42578125" style="166" bestFit="1" customWidth="1"/>
    <col min="25" max="16384" width="9.140625" style="166"/>
  </cols>
  <sheetData>
    <row r="1" spans="3:24">
      <c r="U1" s="609" t="s">
        <v>38</v>
      </c>
      <c r="V1" s="609"/>
      <c r="W1" s="609"/>
      <c r="X1" s="609"/>
    </row>
    <row r="2" spans="3:24" ht="27" thickBot="1"/>
    <row r="3" spans="3:24" ht="40.5" customHeight="1" thickBot="1">
      <c r="C3" s="606" t="s">
        <v>29</v>
      </c>
      <c r="D3" s="607"/>
      <c r="E3" s="608"/>
      <c r="F3" s="618" t="s">
        <v>304</v>
      </c>
      <c r="G3" s="619"/>
      <c r="H3" s="620"/>
      <c r="I3" s="615" t="s">
        <v>34</v>
      </c>
      <c r="J3" s="616"/>
      <c r="K3" s="617"/>
      <c r="L3" s="611" t="s">
        <v>33</v>
      </c>
      <c r="M3" s="611"/>
      <c r="N3" s="611"/>
      <c r="O3" s="612" t="s">
        <v>234</v>
      </c>
      <c r="P3" s="613"/>
      <c r="Q3" s="613"/>
      <c r="R3" s="613"/>
      <c r="S3" s="613"/>
      <c r="T3" s="614"/>
      <c r="U3" s="610" t="s">
        <v>32</v>
      </c>
      <c r="V3" s="610"/>
      <c r="W3" s="610"/>
      <c r="X3" s="611" t="s">
        <v>31</v>
      </c>
    </row>
    <row r="4" spans="3:24" ht="32.25" customHeight="1" thickBot="1">
      <c r="C4" s="398" t="s">
        <v>15</v>
      </c>
      <c r="D4" s="398" t="s">
        <v>14</v>
      </c>
      <c r="E4" s="398" t="s">
        <v>13</v>
      </c>
      <c r="F4" s="399" t="str">
        <f>I4</f>
        <v>مبلغ</v>
      </c>
      <c r="G4" s="399" t="str">
        <f>J4</f>
        <v>فی</v>
      </c>
      <c r="H4" s="399" t="str">
        <f>K4</f>
        <v>تعداد</v>
      </c>
      <c r="I4" s="400" t="s">
        <v>15</v>
      </c>
      <c r="J4" s="400" t="s">
        <v>14</v>
      </c>
      <c r="K4" s="400" t="s">
        <v>13</v>
      </c>
      <c r="L4" s="401" t="s">
        <v>15</v>
      </c>
      <c r="M4" s="401" t="s">
        <v>14</v>
      </c>
      <c r="N4" s="401" t="s">
        <v>13</v>
      </c>
      <c r="O4" s="402" t="s">
        <v>237</v>
      </c>
      <c r="P4" s="402" t="s">
        <v>765</v>
      </c>
      <c r="Q4" s="403" t="s">
        <v>324</v>
      </c>
      <c r="R4" s="403" t="s">
        <v>323</v>
      </c>
      <c r="S4" s="403" t="s">
        <v>322</v>
      </c>
      <c r="T4" s="403" t="s">
        <v>13</v>
      </c>
      <c r="U4" s="404" t="s">
        <v>15</v>
      </c>
      <c r="V4" s="404" t="s">
        <v>30</v>
      </c>
      <c r="W4" s="404" t="s">
        <v>13</v>
      </c>
      <c r="X4" s="611"/>
    </row>
    <row r="5" spans="3:24" ht="33" customHeight="1" thickBot="1">
      <c r="C5" s="398">
        <f>E5*D5</f>
        <v>2770023664.1464977</v>
      </c>
      <c r="D5" s="398">
        <f>M5</f>
        <v>4616706.106910835</v>
      </c>
      <c r="E5" s="398">
        <f>N5-K5-H5</f>
        <v>599.99999999999932</v>
      </c>
      <c r="F5" s="399">
        <f>H5*G5</f>
        <v>229911964.12415957</v>
      </c>
      <c r="G5" s="399">
        <f>M5</f>
        <v>4616706.106910835</v>
      </c>
      <c r="H5" s="399">
        <f>'گردش توليد و مواد ( A)'!D11</f>
        <v>49.8</v>
      </c>
      <c r="I5" s="400">
        <f>J5*K5</f>
        <v>45982392824.831917</v>
      </c>
      <c r="J5" s="400">
        <f>M5</f>
        <v>4616706.106910835</v>
      </c>
      <c r="K5" s="400">
        <f>'فروش - محصول A'!D7</f>
        <v>9960</v>
      </c>
      <c r="L5" s="401">
        <f>O5+U5</f>
        <v>48982328453.10257</v>
      </c>
      <c r="M5" s="401">
        <f>L5/N5</f>
        <v>4616706.106910835</v>
      </c>
      <c r="N5" s="401">
        <f>T5+W5</f>
        <v>10609.8</v>
      </c>
      <c r="O5" s="402">
        <f>Q5+R5+S5-P5</f>
        <v>47282328453.10257</v>
      </c>
      <c r="P5" s="556">
        <f>P8/K24*K21</f>
        <v>516741482.75852805</v>
      </c>
      <c r="Q5" s="405">
        <f>Q8/K24*K21</f>
        <v>10685233631.575491</v>
      </c>
      <c r="R5" s="405">
        <f>R8/K24*K21</f>
        <v>10262062304.28561</v>
      </c>
      <c r="S5" s="405">
        <f>'گردش توليد و مواد ( A)'!D43</f>
        <v>26851773999.999996</v>
      </c>
      <c r="T5" s="405">
        <f>'گردش توليد و مواد ( A)'!D9</f>
        <v>10209.799999999999</v>
      </c>
      <c r="U5" s="404">
        <f>'اطاعات تفصیلی سال قبل'!S21</f>
        <v>1700000000</v>
      </c>
      <c r="V5" s="404"/>
      <c r="W5" s="404">
        <f>'اطاعات تفصیلی سال قبل'!U21</f>
        <v>400</v>
      </c>
      <c r="X5" s="534" t="s">
        <v>790</v>
      </c>
    </row>
    <row r="6" spans="3:24" ht="33" customHeight="1" thickBot="1">
      <c r="C6" s="398">
        <f t="shared" ref="C6:C7" si="0">E6*D6</f>
        <v>1436129280.3458879</v>
      </c>
      <c r="D6" s="398">
        <f t="shared" ref="D6:D7" si="1">M6</f>
        <v>1595699.20038432</v>
      </c>
      <c r="E6" s="398">
        <f t="shared" ref="E6:E7" si="2">N6-K6-H6</f>
        <v>900</v>
      </c>
      <c r="F6" s="399">
        <f t="shared" ref="F6:F7" si="3">H6*G6</f>
        <v>175526912.04227519</v>
      </c>
      <c r="G6" s="399">
        <f t="shared" ref="G6:G7" si="4">M6</f>
        <v>1595699.20038432</v>
      </c>
      <c r="H6" s="406">
        <f>'گردش توليد و مواد B'!D11</f>
        <v>110</v>
      </c>
      <c r="I6" s="400">
        <f t="shared" ref="I6:I7" si="5">J6*K6</f>
        <v>17552691204.22752</v>
      </c>
      <c r="J6" s="400">
        <f t="shared" ref="J6:J7" si="6">M6</f>
        <v>1595699.20038432</v>
      </c>
      <c r="K6" s="407">
        <f>'فروش محصول B'!D7</f>
        <v>11000</v>
      </c>
      <c r="L6" s="401">
        <f t="shared" ref="L6:L7" si="7">O6+U6</f>
        <v>19164347396.615685</v>
      </c>
      <c r="M6" s="401">
        <f t="shared" ref="M6:M7" si="8">L6/N6</f>
        <v>1595699.20038432</v>
      </c>
      <c r="N6" s="401">
        <f t="shared" ref="N6:N8" si="9">T6+W6</f>
        <v>12010</v>
      </c>
      <c r="O6" s="402">
        <f t="shared" ref="O6:O7" si="10">Q6+R6+S6-P6</f>
        <v>18564347396.615685</v>
      </c>
      <c r="P6" s="557">
        <f>P8/K24*K22</f>
        <v>192495455.94346628</v>
      </c>
      <c r="Q6" s="408">
        <f>Q8/K24*K22</f>
        <v>3980440874.9853525</v>
      </c>
      <c r="R6" s="408">
        <f>R8/K24*K22</f>
        <v>3822801977.5737963</v>
      </c>
      <c r="S6" s="408">
        <f>'گردش توليد و مواد B'!D43</f>
        <v>10953600000</v>
      </c>
      <c r="T6" s="408">
        <f>'گردش توليد و مواد B'!D9</f>
        <v>11410</v>
      </c>
      <c r="U6" s="404">
        <f>'اطاعات تفصیلی سال قبل'!S22</f>
        <v>600000000</v>
      </c>
      <c r="V6" s="409"/>
      <c r="W6" s="404">
        <f>'اطاعات تفصیلی سال قبل'!U22</f>
        <v>600</v>
      </c>
      <c r="X6" s="410" t="s">
        <v>791</v>
      </c>
    </row>
    <row r="7" spans="3:24" ht="33" customHeight="1" thickBot="1">
      <c r="C7" s="398">
        <f t="shared" si="0"/>
        <v>997987412.63739264</v>
      </c>
      <c r="D7" s="398">
        <f t="shared" si="1"/>
        <v>782735.2255979561</v>
      </c>
      <c r="E7" s="398">
        <f t="shared" si="2"/>
        <v>1274.9999999999982</v>
      </c>
      <c r="F7" s="399">
        <f t="shared" si="3"/>
        <v>73185743.593408883</v>
      </c>
      <c r="G7" s="399">
        <f t="shared" si="4"/>
        <v>782735.2255979561</v>
      </c>
      <c r="H7" s="406">
        <f>'گردش توليد و مواد C'!D11</f>
        <v>93.499999999999986</v>
      </c>
      <c r="I7" s="400">
        <f t="shared" si="5"/>
        <v>7318574359.3408899</v>
      </c>
      <c r="J7" s="400">
        <f t="shared" si="6"/>
        <v>782735.2255979561</v>
      </c>
      <c r="K7" s="407">
        <f>'فروش محصول C'!D7</f>
        <v>9350</v>
      </c>
      <c r="L7" s="401">
        <f t="shared" si="7"/>
        <v>8389747515.5716915</v>
      </c>
      <c r="M7" s="401">
        <f t="shared" si="8"/>
        <v>782735.2255979561</v>
      </c>
      <c r="N7" s="401">
        <f t="shared" si="9"/>
        <v>10718.499999999998</v>
      </c>
      <c r="O7" s="402">
        <f t="shared" si="10"/>
        <v>7839747515.5716915</v>
      </c>
      <c r="P7" s="557">
        <f>P8/K24*K23</f>
        <v>109305701.93319175</v>
      </c>
      <c r="Q7" s="408">
        <f>Q8/K24*K23</f>
        <v>2260234568.714294</v>
      </c>
      <c r="R7" s="408">
        <f>R8/K24*K23</f>
        <v>2170721648.7905893</v>
      </c>
      <c r="S7" s="408">
        <f>'گردش توليد و مواد C'!D43</f>
        <v>3518096999.9999995</v>
      </c>
      <c r="T7" s="408">
        <f>'گردش توليد و مواد C'!D9</f>
        <v>9718.4999999999982</v>
      </c>
      <c r="U7" s="404">
        <f>'اطاعات تفصیلی سال قبل'!S23</f>
        <v>550000000</v>
      </c>
      <c r="V7" s="409"/>
      <c r="W7" s="404">
        <f>'اطاعات تفصیلی سال قبل'!U23</f>
        <v>1000</v>
      </c>
      <c r="X7" s="410" t="s">
        <v>792</v>
      </c>
    </row>
    <row r="8" spans="3:24" ht="33" customHeight="1" thickBot="1">
      <c r="C8" s="411">
        <f>SUM(C5:C7)</f>
        <v>5204140357.1297789</v>
      </c>
      <c r="D8" s="411">
        <f>SUM(D5:D7)</f>
        <v>6995140.532893111</v>
      </c>
      <c r="E8" s="398">
        <f t="shared" ref="E8" si="11">N8-K8-H8</f>
        <v>2774.9999999999955</v>
      </c>
      <c r="F8" s="412">
        <f>SUM(F5:F7)</f>
        <v>478624619.75984365</v>
      </c>
      <c r="G8" s="412"/>
      <c r="H8" s="412">
        <f>SUM(H5:H7)</f>
        <v>253.3</v>
      </c>
      <c r="I8" s="413">
        <f>SUM(I5:I7)</f>
        <v>70853658388.40033</v>
      </c>
      <c r="J8" s="413"/>
      <c r="K8" s="413">
        <f>SUM(K5:K7)</f>
        <v>30310</v>
      </c>
      <c r="L8" s="401">
        <f>SUM(L5:L7)</f>
        <v>76536423365.289948</v>
      </c>
      <c r="M8" s="414"/>
      <c r="N8" s="401">
        <f t="shared" si="9"/>
        <v>33338.299999999996</v>
      </c>
      <c r="O8" s="402">
        <f>SUM(O5:O7)</f>
        <v>73686423365.289948</v>
      </c>
      <c r="P8" s="557">
        <f>R8*'گردش توليد و مواد C'!A17%</f>
        <v>818542640.6351862</v>
      </c>
      <c r="Q8" s="415">
        <f>'هزینه سربار تولیدی '!C32</f>
        <v>16925909075.275139</v>
      </c>
      <c r="R8" s="415">
        <f>'دستمزد مستقیم'!C19</f>
        <v>16255585930.649998</v>
      </c>
      <c r="S8" s="415">
        <f>SUM(S5:S7)</f>
        <v>41323471000</v>
      </c>
      <c r="T8" s="415">
        <f>SUM(T5:T7)</f>
        <v>31338.299999999996</v>
      </c>
      <c r="U8" s="404">
        <f>SUM(U5:U7)</f>
        <v>2850000000</v>
      </c>
      <c r="V8" s="416"/>
      <c r="W8" s="416">
        <f>SUM(W5:W7)</f>
        <v>2000</v>
      </c>
      <c r="X8" s="414" t="s">
        <v>12</v>
      </c>
    </row>
    <row r="9" spans="3:24" ht="27" thickTop="1">
      <c r="C9" s="166" t="s">
        <v>37</v>
      </c>
      <c r="F9" s="166" t="s">
        <v>305</v>
      </c>
      <c r="I9" s="166" t="s">
        <v>35</v>
      </c>
      <c r="U9" s="166" t="s">
        <v>36</v>
      </c>
    </row>
    <row r="12" spans="3:24">
      <c r="J12" s="605" t="s">
        <v>334</v>
      </c>
      <c r="K12" s="605"/>
      <c r="L12" s="605"/>
      <c r="M12" s="605"/>
      <c r="N12" s="605"/>
    </row>
    <row r="13" spans="3:24">
      <c r="J13" s="605"/>
      <c r="K13" s="605"/>
      <c r="L13" s="605"/>
      <c r="M13" s="605"/>
      <c r="N13" s="605"/>
    </row>
    <row r="14" spans="3:24" ht="27" thickBot="1"/>
    <row r="15" spans="3:24" ht="44.25" customHeight="1" thickBot="1">
      <c r="I15" s="403" t="s">
        <v>616</v>
      </c>
      <c r="J15" s="403" t="s">
        <v>333</v>
      </c>
      <c r="K15" s="403" t="s">
        <v>332</v>
      </c>
      <c r="L15" s="403" t="s">
        <v>330</v>
      </c>
      <c r="M15" s="403" t="str">
        <f>N4</f>
        <v>تعداد</v>
      </c>
      <c r="N15" s="403" t="s">
        <v>331</v>
      </c>
    </row>
    <row r="16" spans="3:24" ht="27" thickBot="1">
      <c r="I16" s="538">
        <f>J16/K16*100</f>
        <v>62.876709274016726</v>
      </c>
      <c r="J16" s="401">
        <f>K16-L16</f>
        <v>7819438.4714024188</v>
      </c>
      <c r="K16" s="401">
        <f>'فروش محصولات '!W14</f>
        <v>12436144.578313254</v>
      </c>
      <c r="L16" s="401">
        <f t="shared" ref="L16:M18" si="12">J5</f>
        <v>4616706.106910835</v>
      </c>
      <c r="M16" s="401">
        <f t="shared" si="12"/>
        <v>9960</v>
      </c>
      <c r="N16" s="401" t="str">
        <f>X5</f>
        <v>کت و شلوار</v>
      </c>
    </row>
    <row r="17" spans="9:14" ht="27" thickBot="1">
      <c r="I17" s="538">
        <f t="shared" ref="I17:I18" si="13">J17/K17*100</f>
        <v>33.763429418009359</v>
      </c>
      <c r="J17" s="401">
        <f t="shared" ref="J17:J18" si="14">K17-L17</f>
        <v>813391.70870658918</v>
      </c>
      <c r="K17" s="538">
        <f>'فروش محصولات '!W15</f>
        <v>2409090.9090909092</v>
      </c>
      <c r="L17" s="401">
        <f t="shared" si="12"/>
        <v>1595699.20038432</v>
      </c>
      <c r="M17" s="401">
        <f t="shared" si="12"/>
        <v>11000</v>
      </c>
      <c r="N17" s="401" t="str">
        <f>X6</f>
        <v>شلوار</v>
      </c>
    </row>
    <row r="18" spans="9:14" ht="27" thickBot="1">
      <c r="I18" s="538">
        <f t="shared" si="13"/>
        <v>37.517507390584051</v>
      </c>
      <c r="J18" s="401">
        <f t="shared" si="14"/>
        <v>469992.0471293166</v>
      </c>
      <c r="K18" s="538">
        <f>'فروش محصولات '!W16</f>
        <v>1252727.2727272727</v>
      </c>
      <c r="L18" s="401">
        <f t="shared" si="12"/>
        <v>782735.2255979561</v>
      </c>
      <c r="M18" s="401">
        <f t="shared" si="12"/>
        <v>9350</v>
      </c>
      <c r="N18" s="401" t="str">
        <f>X7</f>
        <v>پیراهن</v>
      </c>
    </row>
    <row r="20" spans="9:14" ht="27" thickBot="1">
      <c r="K20" s="166" t="s">
        <v>668</v>
      </c>
      <c r="L20" s="166" t="s">
        <v>667</v>
      </c>
      <c r="M20" s="166" t="s">
        <v>351</v>
      </c>
    </row>
    <row r="21" spans="9:14" ht="27" thickBot="1">
      <c r="K21" s="401">
        <f>L21*M21</f>
        <v>918881.99999999988</v>
      </c>
      <c r="L21" s="401">
        <f>T5</f>
        <v>10209.799999999999</v>
      </c>
      <c r="M21" s="401">
        <v>90</v>
      </c>
      <c r="N21" s="401" t="s">
        <v>349</v>
      </c>
    </row>
    <row r="22" spans="9:14" ht="27" thickBot="1">
      <c r="K22" s="401">
        <f t="shared" ref="K22:K23" si="15">L22*M22</f>
        <v>342300</v>
      </c>
      <c r="L22" s="401">
        <f>T6</f>
        <v>11410</v>
      </c>
      <c r="M22" s="401">
        <v>30</v>
      </c>
      <c r="N22" s="401" t="s">
        <v>350</v>
      </c>
    </row>
    <row r="23" spans="9:14" ht="27" thickBot="1">
      <c r="K23" s="401">
        <f t="shared" si="15"/>
        <v>194369.99999999997</v>
      </c>
      <c r="L23" s="401">
        <f>T7</f>
        <v>9718.4999999999982</v>
      </c>
      <c r="M23" s="401">
        <v>20</v>
      </c>
      <c r="N23" s="538" t="s">
        <v>815</v>
      </c>
    </row>
    <row r="24" spans="9:14" ht="27" thickBot="1">
      <c r="K24" s="401">
        <f>SUM(K21:K23)</f>
        <v>1455552</v>
      </c>
      <c r="L24" s="401">
        <f>SUM(L21:L23)</f>
        <v>31338.299999999996</v>
      </c>
      <c r="M24" s="401">
        <f>SUM(M21:M23)</f>
        <v>140</v>
      </c>
      <c r="N24" s="498" t="s">
        <v>12</v>
      </c>
    </row>
  </sheetData>
  <mergeCells count="9">
    <mergeCell ref="J12:N13"/>
    <mergeCell ref="C3:E3"/>
    <mergeCell ref="U1:X1"/>
    <mergeCell ref="U3:W3"/>
    <mergeCell ref="X3:X4"/>
    <mergeCell ref="O3:T3"/>
    <mergeCell ref="L3:N3"/>
    <mergeCell ref="I3:K3"/>
    <mergeCell ref="F3:H3"/>
  </mergeCells>
  <hyperlinks>
    <hyperlink ref="U1:X1" r:id="rId1" location="'فهرست مطالب'!A1" display="گردش محصول ساخته شده "/>
  </hyperlinks>
  <pageMargins left="0.7" right="0.7" top="0.75" bottom="0.75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0"/>
  </sheetPr>
  <dimension ref="C1:P34"/>
  <sheetViews>
    <sheetView topLeftCell="B17" zoomScale="90" zoomScaleNormal="90" workbookViewId="0">
      <selection activeCell="L22" sqref="C22:L22"/>
    </sheetView>
  </sheetViews>
  <sheetFormatPr defaultColWidth="15.85546875" defaultRowHeight="26.25"/>
  <cols>
    <col min="1" max="2" width="15.85546875" style="276"/>
    <col min="3" max="3" width="29.85546875" style="276" bestFit="1" customWidth="1"/>
    <col min="4" max="15" width="26.140625" style="276" bestFit="1" customWidth="1"/>
    <col min="16" max="16" width="61.5703125" style="276" bestFit="1" customWidth="1"/>
    <col min="17" max="16384" width="15.85546875" style="276"/>
  </cols>
  <sheetData>
    <row r="1" spans="3:16" ht="29.25" thickBot="1">
      <c r="C1" s="292">
        <f>C5/12/'مراکز هزینه پرسنل'!B13*2</f>
        <v>27680888.888888884</v>
      </c>
      <c r="D1" s="292" t="s">
        <v>514</v>
      </c>
      <c r="P1" s="322" t="s">
        <v>571</v>
      </c>
    </row>
    <row r="2" spans="3:16" ht="27" thickBot="1">
      <c r="C2" s="292">
        <f>'محاسبه پایه حقوقی'!T14</f>
        <v>32084689.5</v>
      </c>
      <c r="D2" s="292" t="s">
        <v>515</v>
      </c>
      <c r="F2" s="621" t="s">
        <v>727</v>
      </c>
      <c r="G2" s="622"/>
      <c r="H2" s="622"/>
      <c r="I2" s="622"/>
      <c r="J2" s="622"/>
      <c r="K2" s="622"/>
      <c r="L2" s="622"/>
      <c r="M2" s="622"/>
      <c r="N2" s="622"/>
      <c r="O2" s="622"/>
      <c r="P2" s="623"/>
    </row>
    <row r="3" spans="3:16" ht="27" thickBot="1"/>
    <row r="4" spans="3:16" ht="32.25" customHeight="1" thickBot="1">
      <c r="C4" s="277" t="s">
        <v>42</v>
      </c>
      <c r="D4" s="277" t="s">
        <v>41</v>
      </c>
      <c r="E4" s="277" t="s">
        <v>10</v>
      </c>
      <c r="F4" s="277" t="s">
        <v>9</v>
      </c>
      <c r="G4" s="277" t="s">
        <v>8</v>
      </c>
      <c r="H4" s="277" t="s">
        <v>40</v>
      </c>
      <c r="I4" s="277" t="s">
        <v>6</v>
      </c>
      <c r="J4" s="277" t="s">
        <v>5</v>
      </c>
      <c r="K4" s="277" t="s">
        <v>4</v>
      </c>
      <c r="L4" s="277" t="s">
        <v>3</v>
      </c>
      <c r="M4" s="277" t="s">
        <v>2</v>
      </c>
      <c r="N4" s="277" t="s">
        <v>1</v>
      </c>
      <c r="O4" s="277" t="s">
        <v>39</v>
      </c>
      <c r="P4" s="277" t="s">
        <v>241</v>
      </c>
    </row>
    <row r="5" spans="3:16" ht="34.5" customHeight="1" thickBot="1">
      <c r="C5" s="291">
        <f>SUM(D5:O5)</f>
        <v>3736919999.9999995</v>
      </c>
      <c r="D5" s="291">
        <f>'محاسبه پایه حقوقی'!D14</f>
        <v>330599999.99999994</v>
      </c>
      <c r="E5" s="291">
        <f>'محاسبه پایه حقوقی'!E14</f>
        <v>341999999.99999994</v>
      </c>
      <c r="F5" s="291">
        <f>'محاسبه پایه حقوقی'!F14</f>
        <v>341999999.99999994</v>
      </c>
      <c r="G5" s="291">
        <f>'محاسبه پایه حقوقی'!G14</f>
        <v>341999999.99999994</v>
      </c>
      <c r="H5" s="291">
        <f>'محاسبه پایه حقوقی'!H14</f>
        <v>341999999.99999994</v>
      </c>
      <c r="I5" s="291">
        <f>'محاسبه پایه حقوقی'!I14</f>
        <v>341999999.99999994</v>
      </c>
      <c r="J5" s="291">
        <f>'محاسبه پایه حقوقی'!J14</f>
        <v>353399999.99999994</v>
      </c>
      <c r="K5" s="291">
        <f>'محاسبه پایه حقوقی'!K14</f>
        <v>268583999.99999994</v>
      </c>
      <c r="L5" s="291">
        <f>'محاسبه پایه حقوقی'!L14</f>
        <v>268583999.99999994</v>
      </c>
      <c r="M5" s="291">
        <f>'محاسبه پایه حقوقی'!M14</f>
        <v>268583999.99999994</v>
      </c>
      <c r="N5" s="291">
        <f>'محاسبه پایه حقوقی'!N14</f>
        <v>268583999.99999994</v>
      </c>
      <c r="O5" s="291">
        <f>'محاسبه پایه حقوقی'!O14</f>
        <v>268583999.99999994</v>
      </c>
      <c r="P5" s="279" t="s">
        <v>242</v>
      </c>
    </row>
    <row r="6" spans="3:16" ht="27" thickBot="1">
      <c r="C6" s="291">
        <f t="shared" ref="C6:C14" si="0">SUM(D6:O6)</f>
        <v>595507499.99999988</v>
      </c>
      <c r="D6" s="291">
        <f>'محاسبه اضافه کاری'!B21+'محاسبه اضافه کاری'!B22</f>
        <v>49874999.999999985</v>
      </c>
      <c r="E6" s="291">
        <f>'محاسبه اضافه کاری'!C21+'محاسبه اضافه کاری'!C22</f>
        <v>49874999.999999985</v>
      </c>
      <c r="F6" s="291">
        <f>'محاسبه اضافه کاری'!D21+'محاسبه اضافه کاری'!D22</f>
        <v>49874999.999999985</v>
      </c>
      <c r="G6" s="291">
        <f>'محاسبه اضافه کاری'!E21+'محاسبه اضافه کاری'!E22</f>
        <v>49874999.999999985</v>
      </c>
      <c r="H6" s="291">
        <f>'محاسبه اضافه کاری'!F21+'محاسبه اضافه کاری'!F22</f>
        <v>49874999.999999985</v>
      </c>
      <c r="I6" s="291">
        <f>'محاسبه اضافه کاری'!G21+'محاسبه اضافه کاری'!G22</f>
        <v>49874999.999999985</v>
      </c>
      <c r="J6" s="291">
        <f>'محاسبه اضافه کاری'!H21+'محاسبه اضافه کاری'!H22</f>
        <v>49874999.999999985</v>
      </c>
      <c r="K6" s="291">
        <f>'محاسبه اضافه کاری'!I21+'محاسبه اضافه کاری'!I22</f>
        <v>37904999.999999993</v>
      </c>
      <c r="L6" s="291">
        <f>'محاسبه اضافه کاری'!J21+'محاسبه اضافه کاری'!J22</f>
        <v>37904999.999999993</v>
      </c>
      <c r="M6" s="291">
        <f>'محاسبه اضافه کاری'!K21+'محاسبه اضافه کاری'!K22</f>
        <v>37904999.999999993</v>
      </c>
      <c r="N6" s="291">
        <f>'محاسبه اضافه کاری'!L21+'محاسبه اضافه کاری'!L22</f>
        <v>37904999.999999993</v>
      </c>
      <c r="O6" s="291">
        <f>'محاسبه اضافه کاری'!M21+'محاسبه اضافه کاری'!M22</f>
        <v>94762499.99999997</v>
      </c>
      <c r="P6" s="279" t="s">
        <v>43</v>
      </c>
    </row>
    <row r="7" spans="3:16" ht="27" thickBot="1">
      <c r="C7" s="291">
        <f t="shared" si="0"/>
        <v>108000000</v>
      </c>
      <c r="D7" s="291">
        <f>'سایر مزایا '!$L7*'مراکز هزینه پرسنل'!D13</f>
        <v>10000000</v>
      </c>
      <c r="E7" s="291">
        <f>'سایر مزایا '!$L7*'مراکز هزینه پرسنل'!E13</f>
        <v>10000000</v>
      </c>
      <c r="F7" s="291">
        <f>'سایر مزایا '!$L7*'مراکز هزینه پرسنل'!F13</f>
        <v>10000000</v>
      </c>
      <c r="G7" s="291">
        <f>'سایر مزایا '!$L7*'مراکز هزینه پرسنل'!G13</f>
        <v>10000000</v>
      </c>
      <c r="H7" s="291">
        <f>'سایر مزایا '!$L7*'مراکز هزینه پرسنل'!H13</f>
        <v>10000000</v>
      </c>
      <c r="I7" s="291">
        <f>'سایر مزایا '!$L7*'مراکز هزینه پرسنل'!I13</f>
        <v>10000000</v>
      </c>
      <c r="J7" s="291">
        <f>'سایر مزایا '!$L7*'مراکز هزینه پرسنل'!J13</f>
        <v>10000000</v>
      </c>
      <c r="K7" s="291">
        <f>'سایر مزایا '!$L7*'مراکز هزینه پرسنل'!K13</f>
        <v>7600000</v>
      </c>
      <c r="L7" s="291">
        <f>'سایر مزایا '!$L7*'مراکز هزینه پرسنل'!L13</f>
        <v>7600000</v>
      </c>
      <c r="M7" s="291">
        <f>'سایر مزایا '!$L7*'مراکز هزینه پرسنل'!M13</f>
        <v>7600000</v>
      </c>
      <c r="N7" s="291">
        <f>'سایر مزایا '!$L7*'مراکز هزینه پرسنل'!N13</f>
        <v>7600000</v>
      </c>
      <c r="O7" s="291">
        <f>'سایر مزایا '!$L7*'مراکز هزینه پرسنل'!O13</f>
        <v>7600000</v>
      </c>
      <c r="P7" s="279" t="s">
        <v>44</v>
      </c>
    </row>
    <row r="8" spans="3:16" ht="27" thickBot="1">
      <c r="C8" s="291">
        <f t="shared" si="0"/>
        <v>297000000</v>
      </c>
      <c r="D8" s="291">
        <f>'سایر مزایا '!$L10*'مراکز هزینه پرسنل'!D13</f>
        <v>27500000</v>
      </c>
      <c r="E8" s="291">
        <f>'سایر مزایا '!$L10*'مراکز هزینه پرسنل'!E13</f>
        <v>27500000</v>
      </c>
      <c r="F8" s="291">
        <f>'سایر مزایا '!$L10*'مراکز هزینه پرسنل'!F13</f>
        <v>27500000</v>
      </c>
      <c r="G8" s="291">
        <f>'سایر مزایا '!$L10*'مراکز هزینه پرسنل'!G13</f>
        <v>27500000</v>
      </c>
      <c r="H8" s="291">
        <f>'سایر مزایا '!$L10*'مراکز هزینه پرسنل'!H13</f>
        <v>27500000</v>
      </c>
      <c r="I8" s="291">
        <f>'سایر مزایا '!$L10*'مراکز هزینه پرسنل'!I13</f>
        <v>27500000</v>
      </c>
      <c r="J8" s="291">
        <f>'سایر مزایا '!$L10*'مراکز هزینه پرسنل'!J13</f>
        <v>27500000</v>
      </c>
      <c r="K8" s="291">
        <f>'سایر مزایا '!$L10*'مراکز هزینه پرسنل'!K13</f>
        <v>20900000</v>
      </c>
      <c r="L8" s="291">
        <f>'سایر مزایا '!$L10*'مراکز هزینه پرسنل'!L13</f>
        <v>20900000</v>
      </c>
      <c r="M8" s="291">
        <f>'سایر مزایا '!$L10*'مراکز هزینه پرسنل'!M13</f>
        <v>20900000</v>
      </c>
      <c r="N8" s="291">
        <f>'سایر مزایا '!$L10*'مراکز هزینه پرسنل'!N13</f>
        <v>20900000</v>
      </c>
      <c r="O8" s="291">
        <f>'سایر مزایا '!$L10*'مراکز هزینه پرسنل'!O13</f>
        <v>20900000</v>
      </c>
      <c r="P8" s="279" t="s">
        <v>45</v>
      </c>
    </row>
    <row r="9" spans="3:16" ht="27" thickBot="1">
      <c r="C9" s="291">
        <f t="shared" si="0"/>
        <v>288743575.49999994</v>
      </c>
      <c r="D9" s="291">
        <f>'سایر مزایا '!$L8*'مراکز هزینه پرسنل'!D14</f>
        <v>26735516.249999996</v>
      </c>
      <c r="E9" s="291">
        <f>'سایر مزایا '!$L8*'مراکز هزینه پرسنل'!E14</f>
        <v>26735516.249999996</v>
      </c>
      <c r="F9" s="291">
        <f>'سایر مزایا '!$L8*'مراکز هزینه پرسنل'!F14</f>
        <v>26735516.249999996</v>
      </c>
      <c r="G9" s="291">
        <f>'سایر مزایا '!$L8*'مراکز هزینه پرسنل'!G14</f>
        <v>26735516.249999996</v>
      </c>
      <c r="H9" s="291">
        <f>'سایر مزایا '!$L8*'مراکز هزینه پرسنل'!H14</f>
        <v>26735516.249999996</v>
      </c>
      <c r="I9" s="291">
        <f>'سایر مزایا '!$L8*'مراکز هزینه پرسنل'!I14</f>
        <v>26735516.249999996</v>
      </c>
      <c r="J9" s="291">
        <f>'سایر مزایا '!$L8*'مراکز هزینه پرسنل'!J14</f>
        <v>26735516.249999996</v>
      </c>
      <c r="K9" s="291">
        <f>'سایر مزایا '!$L8*'مراکز هزینه پرسنل'!K14</f>
        <v>20318992.349999998</v>
      </c>
      <c r="L9" s="291">
        <f>'سایر مزایا '!$L8*'مراکز هزینه پرسنل'!L14</f>
        <v>20318992.349999998</v>
      </c>
      <c r="M9" s="291">
        <f>'سایر مزایا '!$L8*'مراکز هزینه پرسنل'!M14</f>
        <v>20318992.349999998</v>
      </c>
      <c r="N9" s="291">
        <f>'سایر مزایا '!$L8*'مراکز هزینه پرسنل'!N14</f>
        <v>20318992.349999998</v>
      </c>
      <c r="O9" s="291">
        <f>'سایر مزایا '!$L8*'مراکز هزینه پرسنل'!O14</f>
        <v>20318992.349999998</v>
      </c>
      <c r="P9" s="279" t="s">
        <v>46</v>
      </c>
    </row>
    <row r="10" spans="3:16" ht="27" thickBot="1">
      <c r="C10" s="291">
        <f t="shared" si="0"/>
        <v>1089608324.9999998</v>
      </c>
      <c r="D10" s="291">
        <f t="shared" ref="D10:N10" si="1">(D5+D6+D7+D8)*23%</f>
        <v>96134249.999999985</v>
      </c>
      <c r="E10" s="291">
        <f t="shared" si="1"/>
        <v>98756249.999999985</v>
      </c>
      <c r="F10" s="291">
        <f t="shared" si="1"/>
        <v>98756249.999999985</v>
      </c>
      <c r="G10" s="291">
        <f t="shared" si="1"/>
        <v>98756249.999999985</v>
      </c>
      <c r="H10" s="291">
        <f t="shared" si="1"/>
        <v>98756249.999999985</v>
      </c>
      <c r="I10" s="291">
        <f t="shared" si="1"/>
        <v>98756249.999999985</v>
      </c>
      <c r="J10" s="291">
        <f t="shared" si="1"/>
        <v>101378249.99999999</v>
      </c>
      <c r="K10" s="291">
        <f t="shared" si="1"/>
        <v>77047469.999999985</v>
      </c>
      <c r="L10" s="291">
        <f t="shared" si="1"/>
        <v>77047469.999999985</v>
      </c>
      <c r="M10" s="291">
        <f t="shared" si="1"/>
        <v>77047469.999999985</v>
      </c>
      <c r="N10" s="291">
        <f t="shared" si="1"/>
        <v>77047469.999999985</v>
      </c>
      <c r="O10" s="291">
        <f>(O5+O6+O7+O8)*23%</f>
        <v>90124694.99999997</v>
      </c>
      <c r="P10" s="279" t="s">
        <v>47</v>
      </c>
    </row>
    <row r="11" spans="3:16" ht="27" thickBot="1">
      <c r="C11" s="291">
        <f t="shared" si="0"/>
        <v>622819999.99999988</v>
      </c>
      <c r="D11" s="291">
        <f>IF(C1&gt;C2,C2*'مراکز هزینه پرسنل'!B7,C1*'مراکز هزینه پرسنل'!B13)</f>
        <v>622819999.99999988</v>
      </c>
      <c r="E11" s="291"/>
      <c r="F11" s="291"/>
      <c r="G11" s="291"/>
      <c r="H11" s="291"/>
      <c r="I11" s="291"/>
      <c r="J11" s="291"/>
      <c r="K11" s="291"/>
      <c r="L11" s="291"/>
      <c r="M11" s="291"/>
      <c r="N11" s="291"/>
      <c r="O11" s="291"/>
      <c r="P11" s="279" t="s">
        <v>48</v>
      </c>
    </row>
    <row r="12" spans="3:16" ht="27" thickBot="1">
      <c r="C12" s="291"/>
      <c r="D12" s="278"/>
      <c r="E12" s="278"/>
      <c r="F12" s="278"/>
      <c r="G12" s="278"/>
      <c r="H12" s="278"/>
      <c r="I12" s="278"/>
      <c r="J12" s="278"/>
      <c r="K12" s="278"/>
      <c r="L12" s="278"/>
      <c r="M12" s="278"/>
      <c r="N12" s="278"/>
      <c r="O12" s="278"/>
      <c r="P12" s="279" t="s">
        <v>49</v>
      </c>
    </row>
    <row r="13" spans="3:16" ht="27" thickBot="1">
      <c r="C13" s="291">
        <f t="shared" si="0"/>
        <v>673859940.04999995</v>
      </c>
      <c r="D13" s="291">
        <f>(D5+D6+D7+D8+D9+D10+D11+D12)*'سایر مزایا '!$L20</f>
        <v>116366476.62499999</v>
      </c>
      <c r="E13" s="291">
        <f>(E5+E6+E7+E8+E9+E10+E11+E12)*'سایر مزایا '!$L20</f>
        <v>55486676.624999993</v>
      </c>
      <c r="F13" s="291">
        <f>(F5+F6+F7+F8+F9+F10+F11+F12)*'سایر مزایا '!$L20</f>
        <v>55486676.624999993</v>
      </c>
      <c r="G13" s="291">
        <f>(G5+G6+G7+G8+G9+G10+G11+G12)*'سایر مزایا '!$L20</f>
        <v>55486676.624999993</v>
      </c>
      <c r="H13" s="291">
        <f>(H5+H6+H7+H8+H9+H10+H11+H12)*'سایر مزایا '!$L20</f>
        <v>55486676.624999993</v>
      </c>
      <c r="I13" s="291">
        <f>(I5+I6+I7+I8+I9+I10+I11+I12)*'سایر مزایا '!$L20</f>
        <v>55486676.624999993</v>
      </c>
      <c r="J13" s="291">
        <f>(J5+J6+J7+J8+J9+J10+J11+J12)*'سایر مزایا '!$L20</f>
        <v>56888876.624999993</v>
      </c>
      <c r="K13" s="291">
        <f>(K5+K6+K7+K8+K9+K10+K11+K12)*'سایر مزایا '!$L20</f>
        <v>43235546.234999999</v>
      </c>
      <c r="L13" s="291">
        <f>(L5+L6+L7+L8+L9+L10+L11+L12)*'سایر مزایا '!$L20</f>
        <v>43235546.234999999</v>
      </c>
      <c r="M13" s="291">
        <f>(M5+M6+M7+M8+M9+M10+M11+M12)*'سایر مزایا '!$L20</f>
        <v>43235546.234999999</v>
      </c>
      <c r="N13" s="291">
        <f>(N5+N6+N7+N8+N9+N10+N11+N12)*'سایر مزایا '!$L20</f>
        <v>43235546.234999999</v>
      </c>
      <c r="O13" s="291">
        <f>(O5+O6+O7+O8+O9+O10+O11+O12)*'سایر مزایا '!$L20</f>
        <v>50229018.734999992</v>
      </c>
      <c r="P13" s="279" t="s">
        <v>542</v>
      </c>
    </row>
    <row r="14" spans="3:16" ht="27" thickBot="1">
      <c r="C14" s="291">
        <f t="shared" si="0"/>
        <v>410399999.99999994</v>
      </c>
      <c r="D14" s="278">
        <f>E5*'سایر مزایا '!L23</f>
        <v>410399999.99999994</v>
      </c>
      <c r="E14" s="291"/>
      <c r="F14" s="291"/>
      <c r="G14" s="291"/>
      <c r="H14" s="291"/>
      <c r="I14" s="291"/>
      <c r="J14" s="291"/>
      <c r="K14" s="291"/>
      <c r="L14" s="291"/>
      <c r="M14" s="291"/>
      <c r="N14" s="291"/>
      <c r="O14" s="291"/>
      <c r="P14" s="279" t="s">
        <v>50</v>
      </c>
    </row>
    <row r="15" spans="3:16" ht="38.25" customHeight="1" thickBot="1">
      <c r="C15" s="281">
        <f t="shared" ref="C15:O15" si="2">SUM(C5:C14)</f>
        <v>7822859340.5499992</v>
      </c>
      <c r="D15" s="281">
        <f t="shared" si="2"/>
        <v>1690431242.8749998</v>
      </c>
      <c r="E15" s="281">
        <f t="shared" si="2"/>
        <v>610353442.87499988</v>
      </c>
      <c r="F15" s="281">
        <f t="shared" si="2"/>
        <v>610353442.87499988</v>
      </c>
      <c r="G15" s="281">
        <f t="shared" si="2"/>
        <v>610353442.87499988</v>
      </c>
      <c r="H15" s="281">
        <f t="shared" si="2"/>
        <v>610353442.87499988</v>
      </c>
      <c r="I15" s="281">
        <f t="shared" si="2"/>
        <v>610353442.87499988</v>
      </c>
      <c r="J15" s="281">
        <f t="shared" si="2"/>
        <v>625777642.87499988</v>
      </c>
      <c r="K15" s="281">
        <f t="shared" si="2"/>
        <v>475591008.58499998</v>
      </c>
      <c r="L15" s="281">
        <f t="shared" si="2"/>
        <v>475591008.58499998</v>
      </c>
      <c r="M15" s="281">
        <f t="shared" si="2"/>
        <v>475591008.58499998</v>
      </c>
      <c r="N15" s="281">
        <f t="shared" si="2"/>
        <v>475591008.58499998</v>
      </c>
      <c r="O15" s="281">
        <f t="shared" si="2"/>
        <v>552519206.08499992</v>
      </c>
      <c r="P15" s="281" t="s">
        <v>61</v>
      </c>
    </row>
    <row r="16" spans="3:16" ht="35.25" customHeight="1" thickBot="1">
      <c r="C16" s="282">
        <f>C15-C14</f>
        <v>7412459340.5499992</v>
      </c>
      <c r="D16" s="282">
        <f>IF('سایر مزایا '!$L19=1,D15,D15-D14)</f>
        <v>1280031242.8749998</v>
      </c>
      <c r="E16" s="282">
        <f>IF('سایر مزایا '!$L19=1,E15,E15-E14)</f>
        <v>610353442.87499988</v>
      </c>
      <c r="F16" s="282">
        <f>IF('سایر مزایا '!$L19=1,F15,F15-F14)</f>
        <v>610353442.87499988</v>
      </c>
      <c r="G16" s="282">
        <f>IF('سایر مزایا '!$L19=1,G15,G15-G14)</f>
        <v>610353442.87499988</v>
      </c>
      <c r="H16" s="282">
        <f>IF('سایر مزایا '!$L19=1,H15,H15-H14)</f>
        <v>610353442.87499988</v>
      </c>
      <c r="I16" s="282">
        <f>IF('سایر مزایا '!$L19=1,I15,I15-I14)</f>
        <v>610353442.87499988</v>
      </c>
      <c r="J16" s="282">
        <f>IF('سایر مزایا '!$L19=1,J15,J15-J14)</f>
        <v>625777642.87499988</v>
      </c>
      <c r="K16" s="282">
        <f>IF('سایر مزایا '!$L19=1,K15,K15-K14)</f>
        <v>475591008.58499998</v>
      </c>
      <c r="L16" s="282">
        <f>IF('سایر مزایا '!$L19=1,L15,L15-L14)</f>
        <v>475591008.58499998</v>
      </c>
      <c r="M16" s="282">
        <f>IF('سایر مزایا '!$L19=1,M15,M15-M14)</f>
        <v>475591008.58499998</v>
      </c>
      <c r="N16" s="282">
        <f>IF('سایر مزایا '!$L19=1,N15,N15-N14)</f>
        <v>475591008.58499998</v>
      </c>
      <c r="O16" s="282">
        <f>IF('سایر مزایا '!$L19=1,O15,O15-O14)</f>
        <v>552519206.08499992</v>
      </c>
      <c r="P16" s="282" t="s">
        <v>60</v>
      </c>
    </row>
    <row r="17" spans="3:16" s="287" customFormat="1" ht="35.25" customHeight="1" thickBot="1">
      <c r="C17" s="265"/>
      <c r="D17" s="265"/>
      <c r="E17" s="265"/>
      <c r="F17" s="265"/>
      <c r="G17" s="265"/>
      <c r="H17" s="265"/>
      <c r="I17" s="265"/>
      <c r="J17" s="265"/>
      <c r="K17" s="265"/>
      <c r="L17" s="265"/>
      <c r="M17" s="265"/>
      <c r="N17" s="265"/>
      <c r="O17" s="265"/>
      <c r="P17" s="265"/>
    </row>
    <row r="18" spans="3:16" ht="37.5" customHeight="1" thickBot="1">
      <c r="C18" s="277" t="s">
        <v>42</v>
      </c>
      <c r="D18" s="277" t="s">
        <v>41</v>
      </c>
      <c r="E18" s="277" t="s">
        <v>10</v>
      </c>
      <c r="F18" s="277" t="s">
        <v>9</v>
      </c>
      <c r="G18" s="277" t="s">
        <v>8</v>
      </c>
      <c r="H18" s="277" t="s">
        <v>40</v>
      </c>
      <c r="I18" s="277" t="s">
        <v>6</v>
      </c>
      <c r="J18" s="277" t="s">
        <v>5</v>
      </c>
      <c r="K18" s="277" t="s">
        <v>4</v>
      </c>
      <c r="L18" s="277" t="s">
        <v>3</v>
      </c>
      <c r="M18" s="277" t="s">
        <v>2</v>
      </c>
      <c r="N18" s="277" t="s">
        <v>1</v>
      </c>
      <c r="O18" s="277" t="s">
        <v>39</v>
      </c>
      <c r="P18" s="277" t="s">
        <v>240</v>
      </c>
    </row>
    <row r="19" spans="3:16" ht="27" thickBot="1">
      <c r="C19" s="280">
        <f>SUM(D19:O19)</f>
        <v>6198049734.7251406</v>
      </c>
      <c r="D19" s="280">
        <f>'جدول دارایی های ثابت مشهود '!Z20/12</f>
        <v>516504144.56042832</v>
      </c>
      <c r="E19" s="280">
        <f>D19</f>
        <v>516504144.56042832</v>
      </c>
      <c r="F19" s="390">
        <f t="shared" ref="F19:O19" si="3">E19</f>
        <v>516504144.56042832</v>
      </c>
      <c r="G19" s="390">
        <f t="shared" si="3"/>
        <v>516504144.56042832</v>
      </c>
      <c r="H19" s="390">
        <f t="shared" si="3"/>
        <v>516504144.56042832</v>
      </c>
      <c r="I19" s="390">
        <f t="shared" si="3"/>
        <v>516504144.56042832</v>
      </c>
      <c r="J19" s="390">
        <f t="shared" si="3"/>
        <v>516504144.56042832</v>
      </c>
      <c r="K19" s="390">
        <f t="shared" si="3"/>
        <v>516504144.56042832</v>
      </c>
      <c r="L19" s="390">
        <f t="shared" si="3"/>
        <v>516504144.56042832</v>
      </c>
      <c r="M19" s="390">
        <f t="shared" si="3"/>
        <v>516504144.56042832</v>
      </c>
      <c r="N19" s="390">
        <f t="shared" si="3"/>
        <v>516504144.56042832</v>
      </c>
      <c r="O19" s="390">
        <f t="shared" si="3"/>
        <v>516504144.56042832</v>
      </c>
      <c r="P19" s="279" t="s">
        <v>52</v>
      </c>
    </row>
    <row r="20" spans="3:16" ht="27" thickBot="1">
      <c r="C20" s="280">
        <f t="shared" ref="C20:C23" si="4">SUM(D20:O20)</f>
        <v>0</v>
      </c>
      <c r="D20" s="280"/>
      <c r="E20" s="280"/>
      <c r="F20" s="280"/>
      <c r="G20" s="280"/>
      <c r="H20" s="280"/>
      <c r="I20" s="280"/>
      <c r="J20" s="280"/>
      <c r="K20" s="280"/>
      <c r="L20" s="280"/>
      <c r="M20" s="280"/>
      <c r="N20" s="280"/>
      <c r="O20" s="280"/>
      <c r="P20" s="279" t="s">
        <v>458</v>
      </c>
    </row>
    <row r="21" spans="3:16" ht="27" thickBot="1">
      <c r="C21" s="280">
        <f t="shared" si="4"/>
        <v>0</v>
      </c>
      <c r="D21" s="280"/>
      <c r="E21" s="280"/>
      <c r="F21" s="280"/>
      <c r="G21" s="280"/>
      <c r="H21" s="280"/>
      <c r="I21" s="280"/>
      <c r="J21" s="280"/>
      <c r="K21" s="280"/>
      <c r="L21" s="280"/>
      <c r="M21" s="280"/>
      <c r="N21" s="280"/>
      <c r="O21" s="280"/>
      <c r="P21" s="279" t="s">
        <v>459</v>
      </c>
    </row>
    <row r="22" spans="3:16" ht="27" thickBot="1">
      <c r="C22" s="280">
        <f t="shared" si="4"/>
        <v>0</v>
      </c>
      <c r="D22" s="280"/>
      <c r="E22" s="280"/>
      <c r="F22" s="280"/>
      <c r="G22" s="280"/>
      <c r="H22" s="280"/>
      <c r="I22" s="280"/>
      <c r="J22" s="280"/>
      <c r="K22" s="280"/>
      <c r="L22" s="280"/>
      <c r="M22" s="280"/>
      <c r="N22" s="280"/>
      <c r="O22" s="280"/>
      <c r="P22" s="279" t="s">
        <v>460</v>
      </c>
    </row>
    <row r="23" spans="3:16" ht="27" thickBot="1">
      <c r="C23" s="280">
        <f t="shared" si="4"/>
        <v>690000000</v>
      </c>
      <c r="D23" s="390">
        <v>75000000</v>
      </c>
      <c r="E23" s="390">
        <v>75000000</v>
      </c>
      <c r="F23" s="390">
        <v>75000000</v>
      </c>
      <c r="G23" s="390">
        <v>70000000</v>
      </c>
      <c r="H23" s="390">
        <v>70000000</v>
      </c>
      <c r="I23" s="280">
        <f>65000000</f>
        <v>65000000</v>
      </c>
      <c r="J23" s="390">
        <v>45000000</v>
      </c>
      <c r="K23" s="390">
        <v>45000000</v>
      </c>
      <c r="L23" s="390">
        <v>45000000</v>
      </c>
      <c r="M23" s="390">
        <v>45000000</v>
      </c>
      <c r="N23" s="280">
        <v>45000000</v>
      </c>
      <c r="O23" s="280">
        <v>35000000</v>
      </c>
      <c r="P23" s="279" t="s">
        <v>54</v>
      </c>
    </row>
    <row r="24" spans="3:16" ht="27" thickBot="1">
      <c r="C24" s="280">
        <f t="shared" ref="C24:C28" si="5">SUM(D24:O24)</f>
        <v>1600000000</v>
      </c>
      <c r="D24" s="390">
        <v>100000000</v>
      </c>
      <c r="E24" s="390">
        <v>100000000</v>
      </c>
      <c r="F24" s="390">
        <v>100000000</v>
      </c>
      <c r="G24" s="390">
        <v>100000000</v>
      </c>
      <c r="H24" s="390">
        <v>100000000</v>
      </c>
      <c r="I24" s="390">
        <v>100000000</v>
      </c>
      <c r="J24" s="390">
        <v>100000000</v>
      </c>
      <c r="K24" s="390">
        <v>100000000</v>
      </c>
      <c r="L24" s="390">
        <v>100000000</v>
      </c>
      <c r="M24" s="390">
        <v>100000000</v>
      </c>
      <c r="N24" s="280">
        <v>100000000</v>
      </c>
      <c r="O24" s="280">
        <v>500000000</v>
      </c>
      <c r="P24" s="279" t="s">
        <v>55</v>
      </c>
    </row>
    <row r="25" spans="3:16" ht="27" thickBot="1">
      <c r="C25" s="280">
        <f t="shared" si="5"/>
        <v>0</v>
      </c>
      <c r="D25" s="280"/>
      <c r="E25" s="280"/>
      <c r="F25" s="280"/>
      <c r="G25" s="280"/>
      <c r="H25" s="280"/>
      <c r="I25" s="280"/>
      <c r="J25" s="280"/>
      <c r="K25" s="280"/>
      <c r="L25" s="280"/>
      <c r="M25" s="280"/>
      <c r="N25" s="280"/>
      <c r="O25" s="280"/>
      <c r="P25" s="279" t="s">
        <v>56</v>
      </c>
    </row>
    <row r="26" spans="3:16" ht="27" thickBot="1">
      <c r="C26" s="280">
        <f t="shared" si="5"/>
        <v>0</v>
      </c>
      <c r="D26" s="280"/>
      <c r="E26" s="280"/>
      <c r="F26" s="280"/>
      <c r="G26" s="280"/>
      <c r="H26" s="280"/>
      <c r="I26" s="280"/>
      <c r="J26" s="280"/>
      <c r="K26" s="280"/>
      <c r="L26" s="280"/>
      <c r="M26" s="280"/>
      <c r="N26" s="280"/>
      <c r="O26" s="280"/>
      <c r="P26" s="279" t="s">
        <v>58</v>
      </c>
    </row>
    <row r="27" spans="3:16" ht="27" thickBot="1">
      <c r="C27" s="280">
        <f t="shared" si="5"/>
        <v>0</v>
      </c>
      <c r="D27" s="280"/>
      <c r="E27" s="280"/>
      <c r="F27" s="280"/>
      <c r="G27" s="280"/>
      <c r="H27" s="280"/>
      <c r="I27" s="280"/>
      <c r="J27" s="280"/>
      <c r="K27" s="280"/>
      <c r="L27" s="280"/>
      <c r="M27" s="280"/>
      <c r="N27" s="280"/>
      <c r="O27" s="280"/>
      <c r="P27" s="279" t="s">
        <v>59</v>
      </c>
    </row>
    <row r="28" spans="3:16" ht="27" thickBot="1">
      <c r="C28" s="280">
        <f t="shared" si="5"/>
        <v>615000000</v>
      </c>
      <c r="D28" s="390">
        <v>60000000</v>
      </c>
      <c r="E28" s="390">
        <v>60000000</v>
      </c>
      <c r="F28" s="390">
        <v>60000000</v>
      </c>
      <c r="G28" s="390">
        <v>60000000</v>
      </c>
      <c r="H28" s="390">
        <v>60000000</v>
      </c>
      <c r="I28" s="280">
        <v>60000000</v>
      </c>
      <c r="J28" s="390">
        <v>45000000</v>
      </c>
      <c r="K28" s="390">
        <v>45000000</v>
      </c>
      <c r="L28" s="390">
        <v>45000000</v>
      </c>
      <c r="M28" s="390">
        <v>45000000</v>
      </c>
      <c r="N28" s="280">
        <v>45000000</v>
      </c>
      <c r="O28" s="280">
        <v>30000000</v>
      </c>
      <c r="P28" s="279" t="s">
        <v>57</v>
      </c>
    </row>
    <row r="29" spans="3:16" ht="39.75" customHeight="1" thickBot="1">
      <c r="C29" s="281">
        <f t="shared" ref="C29:N29" si="6">SUM(C19:C28)</f>
        <v>9103049734.7251396</v>
      </c>
      <c r="D29" s="281">
        <f t="shared" si="6"/>
        <v>751504144.56042838</v>
      </c>
      <c r="E29" s="281">
        <f t="shared" si="6"/>
        <v>751504144.56042838</v>
      </c>
      <c r="F29" s="281">
        <f t="shared" si="6"/>
        <v>751504144.56042838</v>
      </c>
      <c r="G29" s="281">
        <f t="shared" si="6"/>
        <v>746504144.56042838</v>
      </c>
      <c r="H29" s="281">
        <f t="shared" si="6"/>
        <v>746504144.56042838</v>
      </c>
      <c r="I29" s="281">
        <f t="shared" si="6"/>
        <v>741504144.56042838</v>
      </c>
      <c r="J29" s="281">
        <f t="shared" si="6"/>
        <v>706504144.56042838</v>
      </c>
      <c r="K29" s="281">
        <f t="shared" si="6"/>
        <v>706504144.56042838</v>
      </c>
      <c r="L29" s="281">
        <f t="shared" si="6"/>
        <v>706504144.56042838</v>
      </c>
      <c r="M29" s="281">
        <f t="shared" si="6"/>
        <v>706504144.56042838</v>
      </c>
      <c r="N29" s="281">
        <f t="shared" si="6"/>
        <v>706504144.56042838</v>
      </c>
      <c r="O29" s="281">
        <f>SUM(O19:O28)</f>
        <v>1081504144.5604284</v>
      </c>
      <c r="P29" s="281" t="s">
        <v>62</v>
      </c>
    </row>
    <row r="30" spans="3:16" ht="36.75" customHeight="1" thickBot="1">
      <c r="C30" s="282">
        <f t="shared" ref="C30:N30" si="7">C29-C19</f>
        <v>2904999999.999999</v>
      </c>
      <c r="D30" s="282">
        <f t="shared" si="7"/>
        <v>235000000.00000006</v>
      </c>
      <c r="E30" s="282">
        <f t="shared" si="7"/>
        <v>235000000.00000006</v>
      </c>
      <c r="F30" s="282">
        <f t="shared" si="7"/>
        <v>235000000.00000006</v>
      </c>
      <c r="G30" s="282">
        <f t="shared" si="7"/>
        <v>230000000.00000006</v>
      </c>
      <c r="H30" s="282">
        <f t="shared" si="7"/>
        <v>230000000.00000006</v>
      </c>
      <c r="I30" s="282">
        <f t="shared" si="7"/>
        <v>225000000.00000006</v>
      </c>
      <c r="J30" s="282">
        <f t="shared" si="7"/>
        <v>190000000.00000006</v>
      </c>
      <c r="K30" s="282">
        <f t="shared" si="7"/>
        <v>190000000.00000006</v>
      </c>
      <c r="L30" s="282">
        <f t="shared" si="7"/>
        <v>190000000.00000006</v>
      </c>
      <c r="M30" s="282">
        <f t="shared" si="7"/>
        <v>190000000.00000006</v>
      </c>
      <c r="N30" s="282">
        <f t="shared" si="7"/>
        <v>190000000.00000006</v>
      </c>
      <c r="O30" s="282">
        <f>O29-O19</f>
        <v>565000000</v>
      </c>
      <c r="P30" s="282" t="s">
        <v>63</v>
      </c>
    </row>
    <row r="31" spans="3:16" ht="27" thickBot="1"/>
    <row r="32" spans="3:16" ht="32.25" customHeight="1" thickBot="1">
      <c r="C32" s="284">
        <f t="shared" ref="C32:N32" si="8">C29+C15</f>
        <v>16925909075.275139</v>
      </c>
      <c r="D32" s="284">
        <f t="shared" si="8"/>
        <v>2441935387.4354281</v>
      </c>
      <c r="E32" s="284">
        <f t="shared" si="8"/>
        <v>1361857587.4354281</v>
      </c>
      <c r="F32" s="284">
        <f t="shared" si="8"/>
        <v>1361857587.4354281</v>
      </c>
      <c r="G32" s="284">
        <f t="shared" si="8"/>
        <v>1356857587.4354281</v>
      </c>
      <c r="H32" s="284">
        <f t="shared" si="8"/>
        <v>1356857587.4354281</v>
      </c>
      <c r="I32" s="284">
        <f t="shared" si="8"/>
        <v>1351857587.4354281</v>
      </c>
      <c r="J32" s="284">
        <f t="shared" si="8"/>
        <v>1332281787.4354281</v>
      </c>
      <c r="K32" s="284">
        <f t="shared" si="8"/>
        <v>1182095153.1454284</v>
      </c>
      <c r="L32" s="284">
        <f t="shared" si="8"/>
        <v>1182095153.1454284</v>
      </c>
      <c r="M32" s="284">
        <f t="shared" si="8"/>
        <v>1182095153.1454284</v>
      </c>
      <c r="N32" s="284">
        <f t="shared" si="8"/>
        <v>1182095153.1454284</v>
      </c>
      <c r="O32" s="284">
        <f>O29+O15</f>
        <v>1634023350.6454282</v>
      </c>
      <c r="P32" s="284" t="s">
        <v>64</v>
      </c>
    </row>
    <row r="33" spans="3:16" ht="36.75" customHeight="1" thickTop="1" thickBot="1">
      <c r="C33" s="285">
        <f t="shared" ref="C33:N33" si="9">C30+C16</f>
        <v>10317459340.549999</v>
      </c>
      <c r="D33" s="285">
        <f t="shared" si="9"/>
        <v>1515031242.8749998</v>
      </c>
      <c r="E33" s="285">
        <f t="shared" si="9"/>
        <v>845353442.875</v>
      </c>
      <c r="F33" s="285">
        <f t="shared" si="9"/>
        <v>845353442.875</v>
      </c>
      <c r="G33" s="285">
        <f t="shared" si="9"/>
        <v>840353442.875</v>
      </c>
      <c r="H33" s="285">
        <f t="shared" si="9"/>
        <v>840353442.875</v>
      </c>
      <c r="I33" s="285">
        <f t="shared" si="9"/>
        <v>835353442.875</v>
      </c>
      <c r="J33" s="285">
        <f t="shared" si="9"/>
        <v>815777642.875</v>
      </c>
      <c r="K33" s="285">
        <f t="shared" si="9"/>
        <v>665591008.58500004</v>
      </c>
      <c r="L33" s="285">
        <f t="shared" si="9"/>
        <v>665591008.58500004</v>
      </c>
      <c r="M33" s="285">
        <f t="shared" si="9"/>
        <v>665591008.58500004</v>
      </c>
      <c r="N33" s="285">
        <f t="shared" si="9"/>
        <v>665591008.58500004</v>
      </c>
      <c r="O33" s="285">
        <f>O30+O16</f>
        <v>1117519206.085</v>
      </c>
      <c r="P33" s="286" t="s">
        <v>65</v>
      </c>
    </row>
    <row r="34" spans="3:16" ht="27" thickTop="1"/>
  </sheetData>
  <mergeCells count="1">
    <mergeCell ref="F2:P2"/>
  </mergeCells>
  <hyperlinks>
    <hyperlink ref="P1" r:id="rId1" location="'فهرست مطالب'!A1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0"/>
  </sheetPr>
  <dimension ref="C1:P33"/>
  <sheetViews>
    <sheetView topLeftCell="B15" zoomScale="70" zoomScaleNormal="70" workbookViewId="0">
      <selection activeCell="E37" sqref="E37"/>
    </sheetView>
  </sheetViews>
  <sheetFormatPr defaultColWidth="7.28515625" defaultRowHeight="26.25"/>
  <cols>
    <col min="1" max="1" width="7.28515625" style="276"/>
    <col min="2" max="2" width="22.42578125" style="276" bestFit="1" customWidth="1"/>
    <col min="3" max="3" width="32.85546875" style="276" bestFit="1" customWidth="1"/>
    <col min="4" max="15" width="26.140625" style="276" bestFit="1" customWidth="1"/>
    <col min="16" max="16" width="77.7109375" style="276" bestFit="1" customWidth="1"/>
    <col min="17" max="16384" width="7.28515625" style="276"/>
  </cols>
  <sheetData>
    <row r="1" spans="3:16" ht="29.25" thickBot="1">
      <c r="C1" s="292">
        <f>C5/12/'مراکز هزینه پرسنل'!B19*2</f>
        <v>45422222.222222224</v>
      </c>
      <c r="D1" s="292" t="s">
        <v>514</v>
      </c>
      <c r="P1" s="324" t="s">
        <v>116</v>
      </c>
    </row>
    <row r="2" spans="3:16" ht="27" thickBot="1">
      <c r="C2" s="292">
        <f>'محاسبه پایه حقوقی'!T20</f>
        <v>32084689.5</v>
      </c>
      <c r="D2" s="292" t="s">
        <v>515</v>
      </c>
      <c r="F2" s="621" t="s">
        <v>728</v>
      </c>
      <c r="G2" s="622"/>
      <c r="H2" s="622"/>
      <c r="I2" s="622"/>
      <c r="J2" s="622"/>
      <c r="K2" s="622"/>
      <c r="L2" s="622"/>
      <c r="M2" s="622"/>
      <c r="N2" s="622"/>
      <c r="O2" s="622"/>
      <c r="P2" s="623"/>
    </row>
    <row r="3" spans="3:16" ht="27" thickBot="1"/>
    <row r="4" spans="3:16" ht="32.25" customHeight="1" thickBot="1">
      <c r="C4" s="277" t="s">
        <v>42</v>
      </c>
      <c r="D4" s="277" t="s">
        <v>41</v>
      </c>
      <c r="E4" s="277" t="s">
        <v>10</v>
      </c>
      <c r="F4" s="277" t="s">
        <v>9</v>
      </c>
      <c r="G4" s="277" t="s">
        <v>8</v>
      </c>
      <c r="H4" s="277" t="s">
        <v>40</v>
      </c>
      <c r="I4" s="277" t="s">
        <v>6</v>
      </c>
      <c r="J4" s="277" t="s">
        <v>5</v>
      </c>
      <c r="K4" s="277" t="s">
        <v>4</v>
      </c>
      <c r="L4" s="277" t="s">
        <v>3</v>
      </c>
      <c r="M4" s="277" t="s">
        <v>2</v>
      </c>
      <c r="N4" s="277" t="s">
        <v>1</v>
      </c>
      <c r="O4" s="277" t="s">
        <v>39</v>
      </c>
      <c r="P4" s="283" t="s">
        <v>241</v>
      </c>
    </row>
    <row r="5" spans="3:16" ht="27" thickBot="1">
      <c r="C5" s="291">
        <f>SUM(D5:O5)</f>
        <v>5450666666.666667</v>
      </c>
      <c r="D5" s="291">
        <f>'محاسبه پایه حقوقی'!D20</f>
        <v>433066666.66666675</v>
      </c>
      <c r="E5" s="291">
        <f>'محاسبه پایه حقوقی'!E20</f>
        <v>448000000.00000006</v>
      </c>
      <c r="F5" s="291">
        <f>'محاسبه پایه حقوقی'!F20</f>
        <v>448000000.00000006</v>
      </c>
      <c r="G5" s="291">
        <f>'محاسبه پایه حقوقی'!G20</f>
        <v>448000000.00000006</v>
      </c>
      <c r="H5" s="291">
        <f>'محاسبه پایه حقوقی'!H20</f>
        <v>448000000.00000006</v>
      </c>
      <c r="I5" s="291">
        <f>'محاسبه پایه حقوقی'!I20</f>
        <v>448000000.00000006</v>
      </c>
      <c r="J5" s="291">
        <f>'محاسبه پایه حقوقی'!J20</f>
        <v>462933333.33333343</v>
      </c>
      <c r="K5" s="291">
        <f>'محاسبه پایه حقوقی'!K20</f>
        <v>462933333.33333343</v>
      </c>
      <c r="L5" s="291">
        <f>'محاسبه پایه حقوقی'!L20</f>
        <v>462933333.33333343</v>
      </c>
      <c r="M5" s="291">
        <f>'محاسبه پایه حقوقی'!M20</f>
        <v>462933333.33333343</v>
      </c>
      <c r="N5" s="291">
        <f>'محاسبه پایه حقوقی'!N20</f>
        <v>462933333.33333343</v>
      </c>
      <c r="O5" s="291">
        <f>'محاسبه پایه حقوقی'!O20</f>
        <v>462933333.33333343</v>
      </c>
      <c r="P5" s="279" t="s">
        <v>310</v>
      </c>
    </row>
    <row r="6" spans="3:16" ht="27" thickBot="1">
      <c r="C6" s="291">
        <f t="shared" ref="C6:C14" si="0">SUM(D6:O6)</f>
        <v>833000000</v>
      </c>
      <c r="D6" s="291">
        <f>'محاسبه اضافه کاری'!B31+'محاسبه اضافه کاری'!B32</f>
        <v>98000000</v>
      </c>
      <c r="E6" s="291">
        <f>'محاسبه اضافه کاری'!C31+'محاسبه اضافه کاری'!C32</f>
        <v>49000000</v>
      </c>
      <c r="F6" s="291">
        <f>'محاسبه اضافه کاری'!D31+'محاسبه اضافه کاری'!D32</f>
        <v>49000000</v>
      </c>
      <c r="G6" s="291">
        <f>'محاسبه اضافه کاری'!E31+'محاسبه اضافه کاری'!E32</f>
        <v>49000000</v>
      </c>
      <c r="H6" s="291">
        <f>'محاسبه اضافه کاری'!F31+'محاسبه اضافه کاری'!F32</f>
        <v>49000000</v>
      </c>
      <c r="I6" s="291">
        <f>'محاسبه اضافه کاری'!G31+'محاسبه اضافه کاری'!G32</f>
        <v>49000000</v>
      </c>
      <c r="J6" s="291">
        <f>'محاسبه اضافه کاری'!H31+'محاسبه اضافه کاری'!H32</f>
        <v>49000000</v>
      </c>
      <c r="K6" s="291">
        <f>'محاسبه اضافه کاری'!I31+'محاسبه اضافه کاری'!I32</f>
        <v>49000000</v>
      </c>
      <c r="L6" s="291">
        <f>'محاسبه اضافه کاری'!J31+'محاسبه اضافه کاری'!J32</f>
        <v>98000000</v>
      </c>
      <c r="M6" s="291">
        <f>'محاسبه اضافه کاری'!K31+'محاسبه اضافه کاری'!K32</f>
        <v>98000000</v>
      </c>
      <c r="N6" s="291">
        <f>'محاسبه اضافه کاری'!L31+'محاسبه اضافه کاری'!L32</f>
        <v>98000000</v>
      </c>
      <c r="O6" s="291">
        <f>'محاسبه اضافه کاری'!M31+'محاسبه اضافه کاری'!M32</f>
        <v>98000000</v>
      </c>
      <c r="P6" s="279" t="s">
        <v>43</v>
      </c>
    </row>
    <row r="7" spans="3:16" ht="27" thickBot="1">
      <c r="C7" s="291">
        <f t="shared" si="0"/>
        <v>96000000</v>
      </c>
      <c r="D7" s="291">
        <f>'سایر مزایا '!$L7*'مراکز هزینه پرسنل'!D19</f>
        <v>8000000</v>
      </c>
      <c r="E7" s="291">
        <f>'سایر مزایا '!$L7*'مراکز هزینه پرسنل'!E19</f>
        <v>8000000</v>
      </c>
      <c r="F7" s="291">
        <f>'سایر مزایا '!$L7*'مراکز هزینه پرسنل'!F19</f>
        <v>8000000</v>
      </c>
      <c r="G7" s="291">
        <f>'سایر مزایا '!$L7*'مراکز هزینه پرسنل'!G19</f>
        <v>8000000</v>
      </c>
      <c r="H7" s="291">
        <f>'سایر مزایا '!$L7*'مراکز هزینه پرسنل'!H19</f>
        <v>8000000</v>
      </c>
      <c r="I7" s="291">
        <f>'سایر مزایا '!$L7*'مراکز هزینه پرسنل'!I19</f>
        <v>8000000</v>
      </c>
      <c r="J7" s="291">
        <f>'سایر مزایا '!$L7*'مراکز هزینه پرسنل'!J19</f>
        <v>8000000</v>
      </c>
      <c r="K7" s="291">
        <f>'سایر مزایا '!$L7*'مراکز هزینه پرسنل'!K19</f>
        <v>8000000</v>
      </c>
      <c r="L7" s="291">
        <f>'سایر مزایا '!$L7*'مراکز هزینه پرسنل'!L19</f>
        <v>8000000</v>
      </c>
      <c r="M7" s="291">
        <f>'سایر مزایا '!$L7*'مراکز هزینه پرسنل'!M19</f>
        <v>8000000</v>
      </c>
      <c r="N7" s="291">
        <f>'سایر مزایا '!$L7*'مراکز هزینه پرسنل'!N19</f>
        <v>8000000</v>
      </c>
      <c r="O7" s="291">
        <f>'سایر مزایا '!$L7*'مراکز هزینه پرسنل'!O19</f>
        <v>8000000</v>
      </c>
      <c r="P7" s="279" t="s">
        <v>44</v>
      </c>
    </row>
    <row r="8" spans="3:16" ht="27" thickBot="1">
      <c r="C8" s="291">
        <f t="shared" si="0"/>
        <v>264000000</v>
      </c>
      <c r="D8" s="291">
        <f>'سایر مزایا '!$L10*'مراکز هزینه پرسنل'!D19</f>
        <v>22000000</v>
      </c>
      <c r="E8" s="291">
        <f>'سایر مزایا '!$L10*'مراکز هزینه پرسنل'!E19</f>
        <v>22000000</v>
      </c>
      <c r="F8" s="291">
        <f>'سایر مزایا '!$L10*'مراکز هزینه پرسنل'!F19</f>
        <v>22000000</v>
      </c>
      <c r="G8" s="291">
        <f>'سایر مزایا '!$L10*'مراکز هزینه پرسنل'!G19</f>
        <v>22000000</v>
      </c>
      <c r="H8" s="291">
        <f>'سایر مزایا '!$L10*'مراکز هزینه پرسنل'!H19</f>
        <v>22000000</v>
      </c>
      <c r="I8" s="291">
        <f>'سایر مزایا '!$L10*'مراکز هزینه پرسنل'!I19</f>
        <v>22000000</v>
      </c>
      <c r="J8" s="291">
        <f>'سایر مزایا '!$L10*'مراکز هزینه پرسنل'!J19</f>
        <v>22000000</v>
      </c>
      <c r="K8" s="291">
        <f>'سایر مزایا '!$L10*'مراکز هزینه پرسنل'!K19</f>
        <v>22000000</v>
      </c>
      <c r="L8" s="291">
        <f>'سایر مزایا '!$L10*'مراکز هزینه پرسنل'!L19</f>
        <v>22000000</v>
      </c>
      <c r="M8" s="291">
        <f>'سایر مزایا '!$L10*'مراکز هزینه پرسنل'!M19</f>
        <v>22000000</v>
      </c>
      <c r="N8" s="291">
        <f>'سایر مزایا '!$L10*'مراکز هزینه پرسنل'!N19</f>
        <v>22000000</v>
      </c>
      <c r="O8" s="291">
        <f>'سایر مزایا '!$L10*'مراکز هزینه پرسنل'!O19</f>
        <v>22000000</v>
      </c>
      <c r="P8" s="279" t="s">
        <v>45</v>
      </c>
    </row>
    <row r="9" spans="3:16" ht="27" thickBot="1">
      <c r="C9" s="291">
        <f t="shared" si="0"/>
        <v>256660956</v>
      </c>
      <c r="D9" s="291">
        <f>'سایر مزایا '!$L8*'مراکز هزینه پرسنل'!D20</f>
        <v>21388413</v>
      </c>
      <c r="E9" s="291">
        <f>'سایر مزایا '!$L8*'مراکز هزینه پرسنل'!E20</f>
        <v>21388413</v>
      </c>
      <c r="F9" s="291">
        <f>'سایر مزایا '!$L8*'مراکز هزینه پرسنل'!F20</f>
        <v>21388413</v>
      </c>
      <c r="G9" s="291">
        <f>'سایر مزایا '!$L8*'مراکز هزینه پرسنل'!G20</f>
        <v>21388413</v>
      </c>
      <c r="H9" s="291">
        <f>'سایر مزایا '!$L8*'مراکز هزینه پرسنل'!H20</f>
        <v>21388413</v>
      </c>
      <c r="I9" s="291">
        <f>'سایر مزایا '!$L8*'مراکز هزینه پرسنل'!I20</f>
        <v>21388413</v>
      </c>
      <c r="J9" s="291">
        <f>'سایر مزایا '!$L8*'مراکز هزینه پرسنل'!J20</f>
        <v>21388413</v>
      </c>
      <c r="K9" s="291">
        <f>'سایر مزایا '!$L8*'مراکز هزینه پرسنل'!K20</f>
        <v>21388413</v>
      </c>
      <c r="L9" s="291">
        <f>'سایر مزایا '!$L8*'مراکز هزینه پرسنل'!L20</f>
        <v>21388413</v>
      </c>
      <c r="M9" s="291">
        <f>'سایر مزایا '!$L8*'مراکز هزینه پرسنل'!M20</f>
        <v>21388413</v>
      </c>
      <c r="N9" s="291">
        <f>'سایر مزایا '!$L8*'مراکز هزینه پرسنل'!N20</f>
        <v>21388413</v>
      </c>
      <c r="O9" s="291">
        <f>'سایر مزایا '!$L8*'مراکز هزینه پرسنل'!O20</f>
        <v>21388413</v>
      </c>
      <c r="P9" s="279" t="s">
        <v>46</v>
      </c>
    </row>
    <row r="10" spans="3:16" ht="27" thickBot="1">
      <c r="C10" s="291">
        <f t="shared" si="0"/>
        <v>1528043333.3333337</v>
      </c>
      <c r="D10" s="291">
        <f t="shared" ref="D10:N10" si="1">(D5+D6+D7+D8)*23%</f>
        <v>129045333.33333336</v>
      </c>
      <c r="E10" s="291">
        <f t="shared" si="1"/>
        <v>121210000.00000001</v>
      </c>
      <c r="F10" s="291">
        <f t="shared" si="1"/>
        <v>121210000.00000001</v>
      </c>
      <c r="G10" s="291">
        <f t="shared" si="1"/>
        <v>121210000.00000001</v>
      </c>
      <c r="H10" s="291">
        <f t="shared" si="1"/>
        <v>121210000.00000001</v>
      </c>
      <c r="I10" s="291">
        <f t="shared" si="1"/>
        <v>121210000.00000001</v>
      </c>
      <c r="J10" s="291">
        <f t="shared" si="1"/>
        <v>124644666.6666667</v>
      </c>
      <c r="K10" s="291">
        <f t="shared" si="1"/>
        <v>124644666.6666667</v>
      </c>
      <c r="L10" s="291">
        <f t="shared" si="1"/>
        <v>135914666.66666672</v>
      </c>
      <c r="M10" s="291">
        <f t="shared" si="1"/>
        <v>135914666.66666672</v>
      </c>
      <c r="N10" s="291">
        <f t="shared" si="1"/>
        <v>135914666.66666672</v>
      </c>
      <c r="O10" s="291">
        <f>(O5+O6+O7+O8)*23%</f>
        <v>135914666.66666672</v>
      </c>
      <c r="P10" s="279" t="s">
        <v>47</v>
      </c>
    </row>
    <row r="11" spans="3:16" ht="27" thickBot="1">
      <c r="C11" s="291">
        <f t="shared" si="0"/>
        <v>1430442406.875</v>
      </c>
      <c r="D11" s="291">
        <f>IF(C1&gt;C2,C2*'مراکز هزینه پرسنل'!B7,C1*'مراکز هزینه پرسنل'!B19)</f>
        <v>1430442406.875</v>
      </c>
      <c r="E11" s="291"/>
      <c r="F11" s="291"/>
      <c r="G11" s="291"/>
      <c r="H11" s="291"/>
      <c r="I11" s="291"/>
      <c r="J11" s="291"/>
      <c r="K11" s="291"/>
      <c r="L11" s="291"/>
      <c r="M11" s="291"/>
      <c r="N11" s="291"/>
      <c r="O11" s="291"/>
      <c r="P11" s="279" t="s">
        <v>48</v>
      </c>
    </row>
    <row r="12" spans="3:16" ht="27" thickBot="1">
      <c r="C12" s="291">
        <f t="shared" si="0"/>
        <v>0</v>
      </c>
      <c r="D12" s="278"/>
      <c r="E12" s="278"/>
      <c r="F12" s="278"/>
      <c r="G12" s="278"/>
      <c r="H12" s="278"/>
      <c r="I12" s="278"/>
      <c r="J12" s="278"/>
      <c r="K12" s="278"/>
      <c r="L12" s="278"/>
      <c r="M12" s="278"/>
      <c r="N12" s="278"/>
      <c r="O12" s="278"/>
      <c r="P12" s="279" t="s">
        <v>49</v>
      </c>
    </row>
    <row r="13" spans="3:16" ht="27" thickBot="1">
      <c r="C13" s="291">
        <f t="shared" si="0"/>
        <v>985881336.2875005</v>
      </c>
      <c r="D13" s="291">
        <f>(D5+D6+D7+D8+D9+D10+D11+D12)*'سایر مزایا '!$L20</f>
        <v>214194281.98750001</v>
      </c>
      <c r="E13" s="291">
        <f>(E5+E6+E7+E8+E9+E10+E11+E12)*'سایر مزایا '!$L20</f>
        <v>66959841.300000004</v>
      </c>
      <c r="F13" s="291">
        <f>(F5+F6+F7+F8+F9+F10+F11+F12)*'سایر مزایا '!$L20</f>
        <v>66959841.300000004</v>
      </c>
      <c r="G13" s="291">
        <f>(G5+G6+G7+G8+G9+G10+G11+G12)*'سایر مزایا '!$L20</f>
        <v>66959841.300000004</v>
      </c>
      <c r="H13" s="291">
        <f>(H5+H6+H7+H8+H9+H10+H11+H12)*'سایر مزایا '!$L20</f>
        <v>66959841.300000004</v>
      </c>
      <c r="I13" s="291">
        <f>(I5+I6+I7+I8+I9+I10+I11+I12)*'سایر مزایا '!$L20</f>
        <v>66959841.300000004</v>
      </c>
      <c r="J13" s="291">
        <f>(J5+J6+J7+J8+J9+J10+J11+J12)*'سایر مزایا '!$L20</f>
        <v>68796641.300000027</v>
      </c>
      <c r="K13" s="291">
        <f>(K5+K6+K7+K8+K9+K10+K11+K12)*'سایر مزایا '!$L20</f>
        <v>68796641.300000027</v>
      </c>
      <c r="L13" s="291">
        <f>(L5+L6+L7+L8+L9+L10+L11+L12)*'سایر مزایا '!$L20</f>
        <v>74823641.300000027</v>
      </c>
      <c r="M13" s="291">
        <f>(M5+M6+M7+M8+M9+M10+M11+M12)*'سایر مزایا '!$L20</f>
        <v>74823641.300000027</v>
      </c>
      <c r="N13" s="291">
        <f>(N5+N6+N7+N8+N9+N10+N11+N12)*'سایر مزایا '!$L20</f>
        <v>74823641.300000027</v>
      </c>
      <c r="O13" s="291">
        <f>(O5+O6+O7+O8+O9+O10+O11+O12)*'سایر مزایا '!$L20</f>
        <v>74823641.300000027</v>
      </c>
      <c r="P13" s="279" t="s">
        <v>542</v>
      </c>
    </row>
    <row r="14" spans="3:16" ht="27" thickBot="1">
      <c r="C14" s="291">
        <f t="shared" si="0"/>
        <v>537600000</v>
      </c>
      <c r="D14" s="278">
        <f>E5*'سایر مزایا '!L23</f>
        <v>537600000</v>
      </c>
      <c r="E14" s="291"/>
      <c r="F14" s="291"/>
      <c r="G14" s="291"/>
      <c r="H14" s="291"/>
      <c r="I14" s="291"/>
      <c r="J14" s="291"/>
      <c r="K14" s="291"/>
      <c r="L14" s="291"/>
      <c r="M14" s="291"/>
      <c r="N14" s="291"/>
      <c r="O14" s="291"/>
      <c r="P14" s="279" t="s">
        <v>50</v>
      </c>
    </row>
    <row r="15" spans="3:16" ht="27" thickBot="1">
      <c r="C15" s="281">
        <f t="shared" ref="C15:O15" si="2">SUM(C5:C14)</f>
        <v>11382294699.1625</v>
      </c>
      <c r="D15" s="281">
        <f t="shared" si="2"/>
        <v>2893737101.8625002</v>
      </c>
      <c r="E15" s="281">
        <f t="shared" si="2"/>
        <v>736558254.29999995</v>
      </c>
      <c r="F15" s="281">
        <f t="shared" si="2"/>
        <v>736558254.29999995</v>
      </c>
      <c r="G15" s="281">
        <f t="shared" si="2"/>
        <v>736558254.29999995</v>
      </c>
      <c r="H15" s="281">
        <f t="shared" si="2"/>
        <v>736558254.29999995</v>
      </c>
      <c r="I15" s="281">
        <f t="shared" si="2"/>
        <v>736558254.29999995</v>
      </c>
      <c r="J15" s="281">
        <f t="shared" si="2"/>
        <v>756763054.30000031</v>
      </c>
      <c r="K15" s="281">
        <f t="shared" si="2"/>
        <v>756763054.30000031</v>
      </c>
      <c r="L15" s="281">
        <f t="shared" si="2"/>
        <v>823060054.30000031</v>
      </c>
      <c r="M15" s="281">
        <f t="shared" si="2"/>
        <v>823060054.30000031</v>
      </c>
      <c r="N15" s="281">
        <f t="shared" si="2"/>
        <v>823060054.30000031</v>
      </c>
      <c r="O15" s="281">
        <f t="shared" si="2"/>
        <v>823060054.30000031</v>
      </c>
      <c r="P15" s="281" t="s">
        <v>311</v>
      </c>
    </row>
    <row r="16" spans="3:16" ht="38.25" customHeight="1" thickBot="1">
      <c r="C16" s="282">
        <f>IF('سایر مزایا '!$L19=1,C15,C15-C14)</f>
        <v>10844694699.1625</v>
      </c>
      <c r="D16" s="282">
        <f>IF('سایر مزایا '!$L19=1,D15,D15-D14)</f>
        <v>2356137101.8625002</v>
      </c>
      <c r="E16" s="282">
        <f>IF('سایر مزایا '!$L19=1,E15,E15-E14)</f>
        <v>736558254.29999995</v>
      </c>
      <c r="F16" s="282">
        <f>IF('سایر مزایا '!$L19=1,F15,F15-F14)</f>
        <v>736558254.29999995</v>
      </c>
      <c r="G16" s="282">
        <f>IF('سایر مزایا '!$L19=1,G15,G15-G14)</f>
        <v>736558254.29999995</v>
      </c>
      <c r="H16" s="282">
        <f>IF('سایر مزایا '!$L19=1,H15,H15-H14)</f>
        <v>736558254.29999995</v>
      </c>
      <c r="I16" s="282">
        <f>IF('سایر مزایا '!$L19=1,I15,I15-I14)</f>
        <v>736558254.29999995</v>
      </c>
      <c r="J16" s="282">
        <f>IF('سایر مزایا '!$L19=1,J15,J15-J14)</f>
        <v>756763054.30000031</v>
      </c>
      <c r="K16" s="282">
        <f>IF('سایر مزایا '!$L19=1,K15,K15-K14)</f>
        <v>756763054.30000031</v>
      </c>
      <c r="L16" s="282">
        <f>IF('سایر مزایا '!$L19=1,L15,L15-L14)</f>
        <v>823060054.30000031</v>
      </c>
      <c r="M16" s="282">
        <f>IF('سایر مزایا '!$L19=1,M15,M15-M14)</f>
        <v>823060054.30000031</v>
      </c>
      <c r="N16" s="282">
        <f>IF('سایر مزایا '!$L19=1,N15,N15-N14)</f>
        <v>823060054.30000031</v>
      </c>
      <c r="O16" s="282">
        <f>IF('سایر مزایا '!$L19=1,O15,O15-O14)</f>
        <v>823060054.30000031</v>
      </c>
      <c r="P16" s="282" t="s">
        <v>60</v>
      </c>
    </row>
    <row r="17" spans="3:16" ht="35.25" customHeight="1" thickBot="1">
      <c r="C17" s="265"/>
      <c r="D17" s="265"/>
      <c r="E17" s="265"/>
      <c r="F17" s="265"/>
      <c r="G17" s="265"/>
      <c r="H17" s="265"/>
      <c r="I17" s="265"/>
      <c r="J17" s="265"/>
      <c r="K17" s="265"/>
      <c r="L17" s="265"/>
      <c r="M17" s="265"/>
      <c r="N17" s="265"/>
      <c r="O17" s="265"/>
      <c r="P17" s="265"/>
    </row>
    <row r="18" spans="3:16" ht="27" thickBot="1">
      <c r="C18" s="277" t="s">
        <v>42</v>
      </c>
      <c r="D18" s="277" t="s">
        <v>41</v>
      </c>
      <c r="E18" s="277" t="s">
        <v>10</v>
      </c>
      <c r="F18" s="277" t="s">
        <v>9</v>
      </c>
      <c r="G18" s="277" t="s">
        <v>8</v>
      </c>
      <c r="H18" s="277" t="s">
        <v>40</v>
      </c>
      <c r="I18" s="277" t="s">
        <v>6</v>
      </c>
      <c r="J18" s="277" t="s">
        <v>5</v>
      </c>
      <c r="K18" s="277" t="s">
        <v>4</v>
      </c>
      <c r="L18" s="277" t="s">
        <v>3</v>
      </c>
      <c r="M18" s="277" t="s">
        <v>2</v>
      </c>
      <c r="N18" s="277" t="s">
        <v>1</v>
      </c>
      <c r="O18" s="277" t="s">
        <v>39</v>
      </c>
      <c r="P18" s="283" t="s">
        <v>239</v>
      </c>
    </row>
    <row r="19" spans="3:16" ht="27" thickBot="1">
      <c r="C19" s="280">
        <f>SUM(D19:O19)</f>
        <v>610447321.52866161</v>
      </c>
      <c r="D19" s="280">
        <f>'جدول دارایی های ثابت مشهود '!AA20/12</f>
        <v>50870610.127388455</v>
      </c>
      <c r="E19" s="280">
        <f>D19</f>
        <v>50870610.127388455</v>
      </c>
      <c r="F19" s="390">
        <f t="shared" ref="F19:O19" si="3">E19</f>
        <v>50870610.127388455</v>
      </c>
      <c r="G19" s="390">
        <f t="shared" si="3"/>
        <v>50870610.127388455</v>
      </c>
      <c r="H19" s="390">
        <f t="shared" si="3"/>
        <v>50870610.127388455</v>
      </c>
      <c r="I19" s="390">
        <f t="shared" si="3"/>
        <v>50870610.127388455</v>
      </c>
      <c r="J19" s="390">
        <f t="shared" si="3"/>
        <v>50870610.127388455</v>
      </c>
      <c r="K19" s="390">
        <f t="shared" si="3"/>
        <v>50870610.127388455</v>
      </c>
      <c r="L19" s="390">
        <f t="shared" si="3"/>
        <v>50870610.127388455</v>
      </c>
      <c r="M19" s="390">
        <f t="shared" si="3"/>
        <v>50870610.127388455</v>
      </c>
      <c r="N19" s="390">
        <f t="shared" si="3"/>
        <v>50870610.127388455</v>
      </c>
      <c r="O19" s="390">
        <f t="shared" si="3"/>
        <v>50870610.127388455</v>
      </c>
      <c r="P19" s="279" t="s">
        <v>52</v>
      </c>
    </row>
    <row r="20" spans="3:16" ht="27" thickBot="1">
      <c r="C20" s="280">
        <f t="shared" ref="C20:C27" si="4">SUM(D20:O20)</f>
        <v>0</v>
      </c>
      <c r="D20" s="280"/>
      <c r="E20" s="280"/>
      <c r="F20" s="280"/>
      <c r="G20" s="280"/>
      <c r="H20" s="280"/>
      <c r="I20" s="280"/>
      <c r="J20" s="280"/>
      <c r="K20" s="280"/>
      <c r="L20" s="280"/>
      <c r="M20" s="280"/>
      <c r="N20" s="280"/>
      <c r="O20" s="280"/>
      <c r="P20" s="279" t="s">
        <v>461</v>
      </c>
    </row>
    <row r="21" spans="3:16" ht="27" thickBot="1">
      <c r="C21" s="280">
        <f t="shared" si="4"/>
        <v>360000000</v>
      </c>
      <c r="D21" s="390">
        <v>30000000</v>
      </c>
      <c r="E21" s="390">
        <v>30000000</v>
      </c>
      <c r="F21" s="390">
        <v>30000000</v>
      </c>
      <c r="G21" s="390">
        <v>30000000</v>
      </c>
      <c r="H21" s="390">
        <v>30000000</v>
      </c>
      <c r="I21" s="390">
        <v>30000000</v>
      </c>
      <c r="J21" s="390">
        <v>30000000</v>
      </c>
      <c r="K21" s="390">
        <v>30000000</v>
      </c>
      <c r="L21" s="390">
        <v>30000000</v>
      </c>
      <c r="M21" s="390">
        <v>30000000</v>
      </c>
      <c r="N21" s="390">
        <v>30000000</v>
      </c>
      <c r="O21" s="280">
        <v>30000000</v>
      </c>
      <c r="P21" s="279" t="s">
        <v>413</v>
      </c>
    </row>
    <row r="22" spans="3:16" ht="27" thickBot="1">
      <c r="C22" s="280">
        <f t="shared" si="4"/>
        <v>600000000</v>
      </c>
      <c r="D22" s="390">
        <v>60000000</v>
      </c>
      <c r="E22" s="390">
        <v>60000000</v>
      </c>
      <c r="F22" s="390">
        <v>60000000</v>
      </c>
      <c r="G22" s="390">
        <v>60000000</v>
      </c>
      <c r="H22" s="390">
        <v>60000000</v>
      </c>
      <c r="I22" s="390">
        <v>60000000</v>
      </c>
      <c r="J22" s="390">
        <v>40000000</v>
      </c>
      <c r="K22" s="390">
        <v>40000000</v>
      </c>
      <c r="L22" s="390">
        <v>40000000</v>
      </c>
      <c r="M22" s="390">
        <v>40000000</v>
      </c>
      <c r="N22" s="390">
        <v>40000000</v>
      </c>
      <c r="O22" s="280">
        <v>40000000</v>
      </c>
      <c r="P22" s="279" t="s">
        <v>66</v>
      </c>
    </row>
    <row r="23" spans="3:16" ht="27" thickBot="1">
      <c r="C23" s="280">
        <f t="shared" si="4"/>
        <v>0</v>
      </c>
      <c r="D23" s="280"/>
      <c r="E23" s="280"/>
      <c r="F23" s="280"/>
      <c r="G23" s="280"/>
      <c r="H23" s="280"/>
      <c r="I23" s="280"/>
      <c r="J23" s="280"/>
      <c r="K23" s="280"/>
      <c r="L23" s="280"/>
      <c r="M23" s="280"/>
      <c r="N23" s="280"/>
      <c r="O23" s="280"/>
      <c r="P23" s="279" t="s">
        <v>56</v>
      </c>
    </row>
    <row r="24" spans="3:16" ht="27" thickBot="1">
      <c r="C24" s="280">
        <f t="shared" si="4"/>
        <v>0</v>
      </c>
      <c r="D24" s="280"/>
      <c r="E24" s="280"/>
      <c r="F24" s="280"/>
      <c r="G24" s="280"/>
      <c r="H24" s="280"/>
      <c r="I24" s="280"/>
      <c r="J24" s="280"/>
      <c r="K24" s="280"/>
      <c r="L24" s="280"/>
      <c r="M24" s="280"/>
      <c r="N24" s="280"/>
      <c r="O24" s="280"/>
      <c r="P24" s="279" t="s">
        <v>414</v>
      </c>
    </row>
    <row r="25" spans="3:16" ht="27" thickBot="1">
      <c r="C25" s="280">
        <f t="shared" si="4"/>
        <v>0</v>
      </c>
      <c r="D25" s="280"/>
      <c r="E25" s="280"/>
      <c r="F25" s="280"/>
      <c r="G25" s="280"/>
      <c r="H25" s="280"/>
      <c r="I25" s="280"/>
      <c r="J25" s="280"/>
      <c r="K25" s="280"/>
      <c r="L25" s="280"/>
      <c r="M25" s="280"/>
      <c r="N25" s="280"/>
      <c r="O25" s="280"/>
      <c r="P25" s="279" t="s">
        <v>59</v>
      </c>
    </row>
    <row r="26" spans="3:16" ht="27" thickBot="1">
      <c r="C26" s="280">
        <f t="shared" si="4"/>
        <v>1680000000</v>
      </c>
      <c r="D26" s="390">
        <v>140000000</v>
      </c>
      <c r="E26" s="390">
        <v>140000000</v>
      </c>
      <c r="F26" s="390">
        <v>140000000</v>
      </c>
      <c r="G26" s="390">
        <v>140000000</v>
      </c>
      <c r="H26" s="390">
        <v>140000000</v>
      </c>
      <c r="I26" s="390">
        <v>140000000</v>
      </c>
      <c r="J26" s="390">
        <v>140000000</v>
      </c>
      <c r="K26" s="390">
        <v>140000000</v>
      </c>
      <c r="L26" s="390">
        <v>140000000</v>
      </c>
      <c r="M26" s="390">
        <v>140000000</v>
      </c>
      <c r="N26" s="390">
        <v>140000000</v>
      </c>
      <c r="O26" s="280">
        <v>140000000</v>
      </c>
      <c r="P26" s="279" t="s">
        <v>68</v>
      </c>
    </row>
    <row r="27" spans="3:16" ht="27" thickBot="1">
      <c r="C27" s="280">
        <f t="shared" si="4"/>
        <v>0</v>
      </c>
      <c r="D27" s="280"/>
      <c r="E27" s="280"/>
      <c r="F27" s="280"/>
      <c r="G27" s="280"/>
      <c r="H27" s="280"/>
      <c r="I27" s="280"/>
      <c r="J27" s="280"/>
      <c r="K27" s="280"/>
      <c r="L27" s="280"/>
      <c r="M27" s="280"/>
      <c r="N27" s="280"/>
      <c r="O27" s="280"/>
      <c r="P27" s="279" t="s">
        <v>67</v>
      </c>
    </row>
    <row r="28" spans="3:16" ht="39.75" customHeight="1" thickBot="1">
      <c r="C28" s="281">
        <f t="shared" ref="C28:N28" si="5">SUM(C19:C27)</f>
        <v>3250447321.5286617</v>
      </c>
      <c r="D28" s="281">
        <f t="shared" si="5"/>
        <v>280870610.12738848</v>
      </c>
      <c r="E28" s="281">
        <f t="shared" si="5"/>
        <v>280870610.12738848</v>
      </c>
      <c r="F28" s="281">
        <f t="shared" si="5"/>
        <v>280870610.12738848</v>
      </c>
      <c r="G28" s="281">
        <f t="shared" si="5"/>
        <v>280870610.12738848</v>
      </c>
      <c r="H28" s="281">
        <f t="shared" si="5"/>
        <v>280870610.12738848</v>
      </c>
      <c r="I28" s="281">
        <f t="shared" si="5"/>
        <v>280870610.12738848</v>
      </c>
      <c r="J28" s="281">
        <f t="shared" si="5"/>
        <v>260870610.12738845</v>
      </c>
      <c r="K28" s="281">
        <f t="shared" si="5"/>
        <v>260870610.12738845</v>
      </c>
      <c r="L28" s="281">
        <f t="shared" si="5"/>
        <v>260870610.12738845</v>
      </c>
      <c r="M28" s="281">
        <f t="shared" si="5"/>
        <v>260870610.12738845</v>
      </c>
      <c r="N28" s="281">
        <f t="shared" si="5"/>
        <v>260870610.12738845</v>
      </c>
      <c r="O28" s="281">
        <f>SUM(O19:O27)</f>
        <v>260870610.12738845</v>
      </c>
      <c r="P28" s="281" t="s">
        <v>69</v>
      </c>
    </row>
    <row r="29" spans="3:16" ht="36.75" customHeight="1" thickBot="1">
      <c r="C29" s="282">
        <f t="shared" ref="C29:N29" si="6">C28-C19</f>
        <v>2640000000</v>
      </c>
      <c r="D29" s="282">
        <f t="shared" si="6"/>
        <v>230000000.00000003</v>
      </c>
      <c r="E29" s="282">
        <f t="shared" si="6"/>
        <v>230000000.00000003</v>
      </c>
      <c r="F29" s="282">
        <f t="shared" si="6"/>
        <v>230000000.00000003</v>
      </c>
      <c r="G29" s="282">
        <f t="shared" si="6"/>
        <v>230000000.00000003</v>
      </c>
      <c r="H29" s="282">
        <f t="shared" si="6"/>
        <v>230000000.00000003</v>
      </c>
      <c r="I29" s="282">
        <f t="shared" si="6"/>
        <v>230000000.00000003</v>
      </c>
      <c r="J29" s="282">
        <f t="shared" si="6"/>
        <v>210000000</v>
      </c>
      <c r="K29" s="282">
        <f t="shared" si="6"/>
        <v>210000000</v>
      </c>
      <c r="L29" s="282">
        <f t="shared" si="6"/>
        <v>210000000</v>
      </c>
      <c r="M29" s="282">
        <f t="shared" si="6"/>
        <v>210000000</v>
      </c>
      <c r="N29" s="282">
        <f t="shared" si="6"/>
        <v>210000000</v>
      </c>
      <c r="O29" s="282">
        <f>O28-O19</f>
        <v>210000000</v>
      </c>
      <c r="P29" s="282" t="s">
        <v>63</v>
      </c>
    </row>
    <row r="30" spans="3:16" ht="27" thickBot="1"/>
    <row r="31" spans="3:16" ht="32.25" customHeight="1" thickBot="1">
      <c r="C31" s="284">
        <f t="shared" ref="C31:O31" si="7">C28+C15</f>
        <v>14632742020.691162</v>
      </c>
      <c r="D31" s="284">
        <f t="shared" si="7"/>
        <v>3174607711.9898887</v>
      </c>
      <c r="E31" s="284">
        <f t="shared" si="7"/>
        <v>1017428864.4273884</v>
      </c>
      <c r="F31" s="284">
        <f t="shared" si="7"/>
        <v>1017428864.4273884</v>
      </c>
      <c r="G31" s="284">
        <f t="shared" si="7"/>
        <v>1017428864.4273884</v>
      </c>
      <c r="H31" s="284">
        <f t="shared" si="7"/>
        <v>1017428864.4273884</v>
      </c>
      <c r="I31" s="284">
        <f t="shared" si="7"/>
        <v>1017428864.4273884</v>
      </c>
      <c r="J31" s="284">
        <f t="shared" si="7"/>
        <v>1017633664.4273888</v>
      </c>
      <c r="K31" s="284">
        <f t="shared" si="7"/>
        <v>1017633664.4273888</v>
      </c>
      <c r="L31" s="284">
        <f t="shared" si="7"/>
        <v>1083930664.4273887</v>
      </c>
      <c r="M31" s="284">
        <f t="shared" si="7"/>
        <v>1083930664.4273887</v>
      </c>
      <c r="N31" s="284">
        <f t="shared" si="7"/>
        <v>1083930664.4273887</v>
      </c>
      <c r="O31" s="284">
        <f t="shared" si="7"/>
        <v>1083930664.4273887</v>
      </c>
      <c r="P31" s="284" t="s">
        <v>70</v>
      </c>
    </row>
    <row r="32" spans="3:16" ht="36.75" customHeight="1" thickTop="1" thickBot="1">
      <c r="C32" s="285">
        <f t="shared" ref="C32:O32" si="8">C29+C16</f>
        <v>13484694699.1625</v>
      </c>
      <c r="D32" s="285">
        <f t="shared" si="8"/>
        <v>2586137101.8625002</v>
      </c>
      <c r="E32" s="285">
        <f t="shared" si="8"/>
        <v>966558254.29999995</v>
      </c>
      <c r="F32" s="285">
        <f t="shared" si="8"/>
        <v>966558254.29999995</v>
      </c>
      <c r="G32" s="285">
        <f t="shared" si="8"/>
        <v>966558254.29999995</v>
      </c>
      <c r="H32" s="285">
        <f t="shared" si="8"/>
        <v>966558254.29999995</v>
      </c>
      <c r="I32" s="285">
        <f t="shared" si="8"/>
        <v>966558254.29999995</v>
      </c>
      <c r="J32" s="285">
        <f t="shared" si="8"/>
        <v>966763054.30000031</v>
      </c>
      <c r="K32" s="285">
        <f t="shared" si="8"/>
        <v>966763054.30000031</v>
      </c>
      <c r="L32" s="285">
        <f t="shared" si="8"/>
        <v>1033060054.3000003</v>
      </c>
      <c r="M32" s="285">
        <f t="shared" si="8"/>
        <v>1033060054.3000003</v>
      </c>
      <c r="N32" s="285">
        <f t="shared" si="8"/>
        <v>1033060054.3000003</v>
      </c>
      <c r="O32" s="285">
        <f t="shared" si="8"/>
        <v>1033060054.3000003</v>
      </c>
      <c r="P32" s="286" t="s">
        <v>65</v>
      </c>
    </row>
    <row r="33" ht="27" thickTop="1"/>
  </sheetData>
  <mergeCells count="1">
    <mergeCell ref="F2:P2"/>
  </mergeCells>
  <hyperlinks>
    <hyperlink ref="P1" r:id="rId1" location="'فهرست مطالب'!A1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0"/>
  </sheetPr>
  <dimension ref="C1:U20"/>
  <sheetViews>
    <sheetView topLeftCell="F1" zoomScale="60" zoomScaleNormal="60" workbookViewId="0">
      <selection activeCell="E24" sqref="E24"/>
    </sheetView>
  </sheetViews>
  <sheetFormatPr defaultColWidth="7.28515625" defaultRowHeight="26.25"/>
  <cols>
    <col min="1" max="1" width="7.28515625" style="276" customWidth="1"/>
    <col min="2" max="2" width="20.140625" style="276" bestFit="1" customWidth="1"/>
    <col min="3" max="3" width="27.42578125" style="276" bestFit="1" customWidth="1"/>
    <col min="4" max="10" width="25.42578125" style="276" bestFit="1" customWidth="1"/>
    <col min="11" max="15" width="22.28515625" style="276" bestFit="1" customWidth="1"/>
    <col min="16" max="16" width="64.42578125" style="276" bestFit="1" customWidth="1"/>
    <col min="17" max="19" width="7.28515625" style="276"/>
    <col min="20" max="20" width="3.85546875" style="276" customWidth="1"/>
    <col min="21" max="21" width="7.28515625" style="276" hidden="1" customWidth="1"/>
    <col min="22" max="16384" width="7.28515625" style="276"/>
  </cols>
  <sheetData>
    <row r="1" spans="3:16" ht="27" thickBot="1">
      <c r="C1" s="292">
        <f>C5/12/'مراکز هزینه پرسنل'!B7*2</f>
        <v>25314392.523364481</v>
      </c>
      <c r="D1" s="292" t="s">
        <v>514</v>
      </c>
    </row>
    <row r="2" spans="3:16" ht="29.25" thickBot="1">
      <c r="C2" s="292">
        <f>'محاسبه پایه حقوقی'!T8</f>
        <v>32084689.5</v>
      </c>
      <c r="D2" s="292" t="s">
        <v>515</v>
      </c>
      <c r="F2" s="624" t="s">
        <v>729</v>
      </c>
      <c r="G2" s="625"/>
      <c r="H2" s="625"/>
      <c r="I2" s="625"/>
      <c r="J2" s="625"/>
      <c r="K2" s="625"/>
      <c r="L2" s="625"/>
      <c r="M2" s="625"/>
      <c r="N2" s="625"/>
      <c r="O2" s="625"/>
      <c r="P2" s="626"/>
    </row>
    <row r="3" spans="3:16" ht="27" thickBot="1"/>
    <row r="4" spans="3:16" ht="32.25" customHeight="1" thickBot="1">
      <c r="C4" s="277" t="s">
        <v>42</v>
      </c>
      <c r="D4" s="277" t="s">
        <v>41</v>
      </c>
      <c r="E4" s="277" t="s">
        <v>10</v>
      </c>
      <c r="F4" s="277" t="s">
        <v>9</v>
      </c>
      <c r="G4" s="277" t="s">
        <v>8</v>
      </c>
      <c r="H4" s="277" t="s">
        <v>40</v>
      </c>
      <c r="I4" s="277" t="s">
        <v>6</v>
      </c>
      <c r="J4" s="277" t="s">
        <v>5</v>
      </c>
      <c r="K4" s="277" t="s">
        <v>4</v>
      </c>
      <c r="L4" s="277" t="s">
        <v>3</v>
      </c>
      <c r="M4" s="277" t="s">
        <v>2</v>
      </c>
      <c r="N4" s="277" t="s">
        <v>1</v>
      </c>
      <c r="O4" s="277" t="s">
        <v>39</v>
      </c>
      <c r="P4" s="277" t="s">
        <v>241</v>
      </c>
    </row>
    <row r="5" spans="3:16" ht="31.5" customHeight="1" thickBot="1">
      <c r="C5" s="291">
        <f>SUM(D5:O5)</f>
        <v>6771599999.999999</v>
      </c>
      <c r="D5" s="291">
        <f>'محاسبه پایه حقوقی'!D8</f>
        <v>666709999.99999988</v>
      </c>
      <c r="E5" s="291">
        <f>'محاسبه پایه حقوقی'!E8</f>
        <v>689699999.99999988</v>
      </c>
      <c r="F5" s="291">
        <f>'محاسبه پایه حقوقی'!F8</f>
        <v>689699999.99999988</v>
      </c>
      <c r="G5" s="291">
        <f>'محاسبه پایه حقوقی'!G8</f>
        <v>689699999.99999988</v>
      </c>
      <c r="H5" s="291">
        <f>'محاسبه پایه حقوقی'!H8</f>
        <v>689699999.99999988</v>
      </c>
      <c r="I5" s="291">
        <f>'محاسبه پایه حقوقی'!I8</f>
        <v>689699999.99999988</v>
      </c>
      <c r="J5" s="291">
        <f>'محاسبه پایه حقوقی'!J8</f>
        <v>712689999.99999988</v>
      </c>
      <c r="K5" s="291">
        <f>'محاسبه پایه حقوقی'!K8</f>
        <v>388739999.99999994</v>
      </c>
      <c r="L5" s="291">
        <f>'محاسبه پایه حقوقی'!L8</f>
        <v>388739999.99999994</v>
      </c>
      <c r="M5" s="291">
        <f>'محاسبه پایه حقوقی'!M8</f>
        <v>388739999.99999994</v>
      </c>
      <c r="N5" s="291">
        <f>'محاسبه پایه حقوقی'!N8</f>
        <v>388739999.99999994</v>
      </c>
      <c r="O5" s="291">
        <f>'محاسبه پایه حقوقی'!O8</f>
        <v>388739999.99999994</v>
      </c>
      <c r="P5" s="279" t="s">
        <v>308</v>
      </c>
    </row>
    <row r="6" spans="3:16" ht="27" thickBot="1">
      <c r="C6" s="291">
        <f t="shared" ref="C6:C18" si="0">SUM(D6:O6)</f>
        <v>2445953124.9999995</v>
      </c>
      <c r="D6" s="291">
        <f>'محاسبه اضافه کاری'!B12+'محاسبه اضافه کاری'!B13</f>
        <v>251453124.99999994</v>
      </c>
      <c r="E6" s="291">
        <f>'محاسبه اضافه کاری'!C12+'محاسبه اضافه کاری'!C13</f>
        <v>251453124.99999994</v>
      </c>
      <c r="F6" s="291">
        <f>'محاسبه اضافه کاری'!D12+'محاسبه اضافه کاری'!D13</f>
        <v>251453124.99999994</v>
      </c>
      <c r="G6" s="291">
        <f>'محاسبه اضافه کاری'!E12+'محاسبه اضافه کاری'!E13</f>
        <v>251453124.99999994</v>
      </c>
      <c r="H6" s="291">
        <f>'محاسبه اضافه کاری'!F12+'محاسبه اضافه کاری'!F13</f>
        <v>251453124.99999994</v>
      </c>
      <c r="I6" s="291">
        <f>'محاسبه اضافه کاری'!G12+'محاسبه اضافه کاری'!G13</f>
        <v>251453124.99999994</v>
      </c>
      <c r="J6" s="291">
        <f>'محاسبه اضافه کاری'!H12+'محاسبه اضافه کاری'!H13</f>
        <v>251453124.99999994</v>
      </c>
      <c r="K6" s="291">
        <f>'محاسبه اضافه کاری'!I12+'محاسبه اضافه کاری'!I13</f>
        <v>137156249.99999997</v>
      </c>
      <c r="L6" s="291">
        <f>'محاسبه اضافه کاری'!J12+'محاسبه اضافه کاری'!J13</f>
        <v>137156249.99999997</v>
      </c>
      <c r="M6" s="291">
        <f>'محاسبه اضافه کاری'!K12+'محاسبه اضافه کاری'!K13</f>
        <v>137156249.99999997</v>
      </c>
      <c r="N6" s="291">
        <f>'محاسبه اضافه کاری'!L12+'محاسبه اضافه کاری'!L13</f>
        <v>137156249.99999997</v>
      </c>
      <c r="O6" s="291">
        <f>'محاسبه اضافه کاری'!M12+'محاسبه اضافه کاری'!M13</f>
        <v>137156249.99999997</v>
      </c>
      <c r="P6" s="279" t="s">
        <v>43</v>
      </c>
    </row>
    <row r="7" spans="3:16" ht="27" thickBot="1">
      <c r="C7" s="291">
        <f t="shared" si="0"/>
        <v>214000000</v>
      </c>
      <c r="D7" s="291">
        <f>'سایر مزایا '!$L7*'مراکز هزینه پرسنل'!D7</f>
        <v>22000000</v>
      </c>
      <c r="E7" s="291">
        <f>'سایر مزایا '!$L7*'مراکز هزینه پرسنل'!E7</f>
        <v>22000000</v>
      </c>
      <c r="F7" s="291">
        <f>'سایر مزایا '!$L7*'مراکز هزینه پرسنل'!F7</f>
        <v>22000000</v>
      </c>
      <c r="G7" s="291">
        <f>'سایر مزایا '!$L7*'مراکز هزینه پرسنل'!G7</f>
        <v>22000000</v>
      </c>
      <c r="H7" s="291">
        <f>'سایر مزایا '!$L7*'مراکز هزینه پرسنل'!H7</f>
        <v>22000000</v>
      </c>
      <c r="I7" s="291">
        <f>'سایر مزایا '!$L7*'مراکز هزینه پرسنل'!I7</f>
        <v>22000000</v>
      </c>
      <c r="J7" s="291">
        <f>'سایر مزایا '!$L7*'مراکز هزینه پرسنل'!J7</f>
        <v>22000000</v>
      </c>
      <c r="K7" s="291">
        <f>'سایر مزایا '!$L7*'مراکز هزینه پرسنل'!K7</f>
        <v>12000000</v>
      </c>
      <c r="L7" s="291">
        <f>'سایر مزایا '!$L7*'مراکز هزینه پرسنل'!L7</f>
        <v>12000000</v>
      </c>
      <c r="M7" s="291">
        <f>'سایر مزایا '!$L7*'مراکز هزینه پرسنل'!M7</f>
        <v>12000000</v>
      </c>
      <c r="N7" s="291">
        <f>'سایر مزایا '!$L7*'مراکز هزینه پرسنل'!N7</f>
        <v>12000000</v>
      </c>
      <c r="O7" s="291">
        <f>'سایر مزایا '!$L7*'مراکز هزینه پرسنل'!O7</f>
        <v>12000000</v>
      </c>
      <c r="P7" s="279" t="s">
        <v>44</v>
      </c>
    </row>
    <row r="8" spans="3:16" ht="27" thickBot="1">
      <c r="C8" s="291">
        <f t="shared" si="0"/>
        <v>588500000</v>
      </c>
      <c r="D8" s="291">
        <f>'سایر مزایا '!$L10*'مراکز هزینه پرسنل'!D7</f>
        <v>60500000</v>
      </c>
      <c r="E8" s="291">
        <f>'سایر مزایا '!$L10*'مراکز هزینه پرسنل'!E7</f>
        <v>60500000</v>
      </c>
      <c r="F8" s="291">
        <f>'سایر مزایا '!$L10*'مراکز هزینه پرسنل'!F7</f>
        <v>60500000</v>
      </c>
      <c r="G8" s="291">
        <f>'سایر مزایا '!$L10*'مراکز هزینه پرسنل'!G7</f>
        <v>60500000</v>
      </c>
      <c r="H8" s="291">
        <f>'سایر مزایا '!$L10*'مراکز هزینه پرسنل'!H7</f>
        <v>60500000</v>
      </c>
      <c r="I8" s="291">
        <f>'سایر مزایا '!$L10*'مراکز هزینه پرسنل'!I7</f>
        <v>60500000</v>
      </c>
      <c r="J8" s="291">
        <f>'سایر مزایا '!$L10*'مراکز هزینه پرسنل'!J7</f>
        <v>60500000</v>
      </c>
      <c r="K8" s="291">
        <f>'سایر مزایا '!$L10*'مراکز هزینه پرسنل'!K7</f>
        <v>33000000</v>
      </c>
      <c r="L8" s="291">
        <f>'سایر مزایا '!$L10*'مراکز هزینه پرسنل'!L7</f>
        <v>33000000</v>
      </c>
      <c r="M8" s="291">
        <f>'سایر مزایا '!$L10*'مراکز هزینه پرسنل'!M7</f>
        <v>33000000</v>
      </c>
      <c r="N8" s="291">
        <f>'سایر مزایا '!$L10*'مراکز هزینه پرسنل'!N7</f>
        <v>33000000</v>
      </c>
      <c r="O8" s="291">
        <f>'سایر مزایا '!$L10*'مراکز هزینه پرسنل'!O7</f>
        <v>33000000</v>
      </c>
      <c r="P8" s="279" t="s">
        <v>45</v>
      </c>
    </row>
    <row r="9" spans="3:16" ht="27" thickBot="1">
      <c r="C9" s="291">
        <f t="shared" si="0"/>
        <v>572140047.74999988</v>
      </c>
      <c r="D9" s="291">
        <f>'سایر مزایا '!$L8*'مراکز هزینه پرسنل'!D8</f>
        <v>58818135.749999993</v>
      </c>
      <c r="E9" s="291">
        <f>'سایر مزایا '!$L8*'مراکز هزینه پرسنل'!E8</f>
        <v>58818135.749999993</v>
      </c>
      <c r="F9" s="291">
        <f>'سایر مزایا '!$L8*'مراکز هزینه پرسنل'!F8</f>
        <v>58818135.749999993</v>
      </c>
      <c r="G9" s="291">
        <f>'سایر مزایا '!$L8*'مراکز هزینه پرسنل'!G8</f>
        <v>58818135.749999993</v>
      </c>
      <c r="H9" s="291">
        <f>'سایر مزایا '!$L8*'مراکز هزینه پرسنل'!H8</f>
        <v>58818135.749999993</v>
      </c>
      <c r="I9" s="291">
        <f>'سایر مزایا '!$L8*'مراکز هزینه پرسنل'!I8</f>
        <v>58818135.749999993</v>
      </c>
      <c r="J9" s="291">
        <f>'سایر مزایا '!$L8*'مراکز هزینه پرسنل'!J8</f>
        <v>58818135.749999993</v>
      </c>
      <c r="K9" s="291">
        <f>'سایر مزایا '!$L8*'مراکز هزینه پرسنل'!K8</f>
        <v>32082619.499999996</v>
      </c>
      <c r="L9" s="291">
        <f>'سایر مزایا '!$L8*'مراکز هزینه پرسنل'!L8</f>
        <v>32082619.499999996</v>
      </c>
      <c r="M9" s="291">
        <f>'سایر مزایا '!$L8*'مراکز هزینه پرسنل'!M8</f>
        <v>32082619.499999996</v>
      </c>
      <c r="N9" s="291">
        <f>'سایر مزایا '!$L8*'مراکز هزینه پرسنل'!N8</f>
        <v>32082619.499999996</v>
      </c>
      <c r="O9" s="291">
        <f>'سایر مزایا '!$L8*'مراکز هزینه پرسنل'!O8</f>
        <v>32082619.499999996</v>
      </c>
      <c r="P9" s="279" t="s">
        <v>46</v>
      </c>
    </row>
    <row r="10" spans="3:16" ht="27" thickBot="1">
      <c r="C10" s="291">
        <f t="shared" si="0"/>
        <v>2304612218.7499995</v>
      </c>
      <c r="D10" s="291">
        <f t="shared" ref="D10:N10" si="1">(D5+D6+D7+D8)*23%</f>
        <v>230152518.74999994</v>
      </c>
      <c r="E10" s="291">
        <f t="shared" si="1"/>
        <v>235440218.74999997</v>
      </c>
      <c r="F10" s="291">
        <f t="shared" si="1"/>
        <v>235440218.74999997</v>
      </c>
      <c r="G10" s="291">
        <f t="shared" si="1"/>
        <v>235440218.74999997</v>
      </c>
      <c r="H10" s="291">
        <f t="shared" si="1"/>
        <v>235440218.74999997</v>
      </c>
      <c r="I10" s="291">
        <f t="shared" si="1"/>
        <v>235440218.74999997</v>
      </c>
      <c r="J10" s="291">
        <f t="shared" si="1"/>
        <v>240727918.74999997</v>
      </c>
      <c r="K10" s="291">
        <f t="shared" si="1"/>
        <v>131306137.49999999</v>
      </c>
      <c r="L10" s="291">
        <f t="shared" si="1"/>
        <v>131306137.49999999</v>
      </c>
      <c r="M10" s="291">
        <f t="shared" si="1"/>
        <v>131306137.49999999</v>
      </c>
      <c r="N10" s="291">
        <f t="shared" si="1"/>
        <v>131306137.49999999</v>
      </c>
      <c r="O10" s="291">
        <f>(O5+O6+O7+O8)*23%</f>
        <v>131306137.49999999</v>
      </c>
      <c r="P10" s="279" t="s">
        <v>47</v>
      </c>
    </row>
    <row r="11" spans="3:16" ht="27" thickBot="1">
      <c r="C11" s="291">
        <f t="shared" si="0"/>
        <v>1128599999.9999998</v>
      </c>
      <c r="D11" s="291">
        <f>IF(C1&gt;C2,C2*'مراکز هزینه پرسنل'!B7,C1*'مراکز هزینه پرسنل'!B7)</f>
        <v>1128599999.9999998</v>
      </c>
      <c r="E11" s="291"/>
      <c r="F11" s="291"/>
      <c r="G11" s="291"/>
      <c r="H11" s="291"/>
      <c r="I11" s="291"/>
      <c r="J11" s="291"/>
      <c r="K11" s="291"/>
      <c r="L11" s="291"/>
      <c r="M11" s="291"/>
      <c r="N11" s="291"/>
      <c r="O11" s="291"/>
      <c r="P11" s="279" t="s">
        <v>48</v>
      </c>
    </row>
    <row r="12" spans="3:16" ht="27" thickBot="1">
      <c r="C12" s="291">
        <f>SUM(D12:O12)</f>
        <v>0</v>
      </c>
      <c r="D12" s="291">
        <f>IF('سایر مزایا '!$L21=1,D5*10%,0)</f>
        <v>0</v>
      </c>
      <c r="E12" s="291">
        <f>IF('سایر مزایا '!$L21=1,E5*10%,0)</f>
        <v>0</v>
      </c>
      <c r="F12" s="291">
        <f>IF('سایر مزایا '!$L21=1,F5*10%,0)</f>
        <v>0</v>
      </c>
      <c r="G12" s="291">
        <f>IF('سایر مزایا '!$L21=1,G5*10%,0)</f>
        <v>0</v>
      </c>
      <c r="H12" s="291">
        <f>IF('سایر مزایا '!$L21=1,H5*10%,0)</f>
        <v>0</v>
      </c>
      <c r="I12" s="291">
        <f>IF('سایر مزایا '!$L21=1,I5*10%,0)</f>
        <v>0</v>
      </c>
      <c r="J12" s="291">
        <f>IF('سایر مزایا '!$L21=1,J5*10%,0)</f>
        <v>0</v>
      </c>
      <c r="K12" s="291">
        <f>IF('سایر مزایا '!$L21=1,K5*10%,0)</f>
        <v>0</v>
      </c>
      <c r="L12" s="291">
        <f>IF('سایر مزایا '!$L21=1,L5*10%,0)</f>
        <v>0</v>
      </c>
      <c r="M12" s="291">
        <f>IF('سایر مزایا '!$L21=1,M5*10%,0)</f>
        <v>0</v>
      </c>
      <c r="N12" s="291">
        <f>IF('سایر مزایا '!$L21=1,N5*10%,0)</f>
        <v>0</v>
      </c>
      <c r="O12" s="291">
        <f>IF('سایر مزایا '!$L21=1,O5*10%,0)</f>
        <v>0</v>
      </c>
      <c r="P12" s="279" t="s">
        <v>808</v>
      </c>
    </row>
    <row r="13" spans="3:16" ht="27" thickBot="1">
      <c r="C13" s="291">
        <f>SUM(D13:O13)</f>
        <v>0</v>
      </c>
      <c r="D13" s="291">
        <f>IF('سایر مزایا '!$L21=2,D5*15%,0)</f>
        <v>0</v>
      </c>
      <c r="E13" s="291">
        <f>IF('سایر مزایا '!$L21=2,E5*15%,0)</f>
        <v>0</v>
      </c>
      <c r="F13" s="291">
        <f>IF('سایر مزایا '!$L21=2,F5*15%,0)</f>
        <v>0</v>
      </c>
      <c r="G13" s="291">
        <f>IF('سایر مزایا '!$L21=2,G5*15%,0)</f>
        <v>0</v>
      </c>
      <c r="H13" s="291">
        <f>IF('سایر مزایا '!$L21=2,H5*15%,0)</f>
        <v>0</v>
      </c>
      <c r="I13" s="291">
        <f>IF('سایر مزایا '!$L21=2,I5*15%,0)</f>
        <v>0</v>
      </c>
      <c r="J13" s="291">
        <f>IF('سایر مزایا '!$L21=2,J5*15%,0)</f>
        <v>0</v>
      </c>
      <c r="K13" s="291">
        <f>IF('سایر مزایا '!$L21=2,K5*15%,0)</f>
        <v>0</v>
      </c>
      <c r="L13" s="291">
        <f>IF('سایر مزایا '!$L21=2,L5*15%,0)</f>
        <v>0</v>
      </c>
      <c r="M13" s="291">
        <f>IF('سایر مزایا '!$L21=2,M5*15%,0)</f>
        <v>0</v>
      </c>
      <c r="N13" s="291">
        <f>IF('سایر مزایا '!$L21=2,N5*15%,0)</f>
        <v>0</v>
      </c>
      <c r="O13" s="291">
        <f>IF('سایر مزایا '!$L21=2,O5*15%,0)</f>
        <v>0</v>
      </c>
      <c r="P13" s="279" t="s">
        <v>810</v>
      </c>
    </row>
    <row r="14" spans="3:16" ht="27" thickBot="1">
      <c r="C14" s="291">
        <f>SUM(D14:O14)</f>
        <v>0</v>
      </c>
      <c r="D14" s="291">
        <f>IF('سایر مزایا '!$L21=3,D5*22.5%,0)</f>
        <v>0</v>
      </c>
      <c r="E14" s="291">
        <f>IF('سایر مزایا '!$L21=3,E5*22.5%,0)</f>
        <v>0</v>
      </c>
      <c r="F14" s="291">
        <f>IF('سایر مزایا '!$L21=3,F5*22.5%,0)</f>
        <v>0</v>
      </c>
      <c r="G14" s="291">
        <f>IF('سایر مزایا '!$L21=3,G5*22.5%,0)</f>
        <v>0</v>
      </c>
      <c r="H14" s="291">
        <f>IF('سایر مزایا '!$L21=3,H5*22.5%,0)</f>
        <v>0</v>
      </c>
      <c r="I14" s="291">
        <f>IF('سایر مزایا '!$L21=3,I5*22.5%,0)</f>
        <v>0</v>
      </c>
      <c r="J14" s="291">
        <f>IF('سایر مزایا '!$L21=3,J5*22.5%,0)</f>
        <v>0</v>
      </c>
      <c r="K14" s="291">
        <f>IF('سایر مزایا '!$L21=3,K5*22.5%,0)</f>
        <v>0</v>
      </c>
      <c r="L14" s="291">
        <f>IF('سایر مزایا '!$L21=3,L5*22.5%,0)</f>
        <v>0</v>
      </c>
      <c r="M14" s="291">
        <f>IF('سایر مزایا '!$L21=3,M5*22.5%,0)</f>
        <v>0</v>
      </c>
      <c r="N14" s="291">
        <f>IF('سایر مزایا '!$L21=3,N5*22.5%,0)</f>
        <v>0</v>
      </c>
      <c r="O14" s="291">
        <f>IF('سایر مزایا '!$L21=3,O5*22.5%,0)</f>
        <v>0</v>
      </c>
      <c r="P14" s="279" t="s">
        <v>811</v>
      </c>
    </row>
    <row r="15" spans="3:16" ht="27" thickBot="1">
      <c r="C15" s="291">
        <f>SUM(D15:O15)</f>
        <v>0</v>
      </c>
      <c r="D15" s="291">
        <f>IF('سایر مزایا '!$L22=1,D5*35%,0)</f>
        <v>0</v>
      </c>
      <c r="E15" s="291">
        <f>IF('سایر مزایا '!$L22=1,E5*35%,0)</f>
        <v>0</v>
      </c>
      <c r="F15" s="291">
        <f>IF('سایر مزایا '!$L22=1,F5*35%,0)</f>
        <v>0</v>
      </c>
      <c r="G15" s="291">
        <f>IF('سایر مزایا '!$L22=1,G5*35%,0)</f>
        <v>0</v>
      </c>
      <c r="H15" s="291">
        <f>IF('سایر مزایا '!$L22=1,H5*35%,0)</f>
        <v>0</v>
      </c>
      <c r="I15" s="291">
        <f>IF('سایر مزایا '!$L22=1,I5*35%,0)</f>
        <v>0</v>
      </c>
      <c r="J15" s="291">
        <f>IF('سایر مزایا '!$L22=1,J5*35%,0)</f>
        <v>0</v>
      </c>
      <c r="K15" s="291">
        <f>IF('سایر مزایا '!$L22=1,K5*35%,0)</f>
        <v>0</v>
      </c>
      <c r="L15" s="291">
        <f>IF('سایر مزایا '!$L22=1,L5*35%,0)</f>
        <v>0</v>
      </c>
      <c r="M15" s="291">
        <f>IF('سایر مزایا '!$L22=1,M5*35%,0)</f>
        <v>0</v>
      </c>
      <c r="N15" s="291">
        <f>IF('سایر مزایا '!$L22=1,N5*35%,0)</f>
        <v>0</v>
      </c>
      <c r="O15" s="291">
        <f>IF('سایر مزایا '!$L22=1,O5*35%,0)</f>
        <v>0</v>
      </c>
      <c r="P15" s="279" t="s">
        <v>809</v>
      </c>
    </row>
    <row r="16" spans="3:16" ht="27" thickBot="1">
      <c r="C16" s="291">
        <f t="shared" si="0"/>
        <v>0</v>
      </c>
      <c r="D16" s="278"/>
      <c r="E16" s="278"/>
      <c r="F16" s="278"/>
      <c r="G16" s="278"/>
      <c r="H16" s="278"/>
      <c r="I16" s="278"/>
      <c r="J16" s="278"/>
      <c r="K16" s="278"/>
      <c r="L16" s="278"/>
      <c r="M16" s="278"/>
      <c r="N16" s="278"/>
      <c r="O16" s="278"/>
      <c r="P16" s="279" t="s">
        <v>49</v>
      </c>
    </row>
    <row r="17" spans="3:16" ht="27" thickBot="1">
      <c r="C17" s="291">
        <f t="shared" si="0"/>
        <v>1402540539.1500003</v>
      </c>
      <c r="D17" s="291">
        <f>(D5+D6+D7+D8+D9+D10+D11+D16)*'سایر مزایا '!$L20</f>
        <v>241823377.94999996</v>
      </c>
      <c r="E17" s="291">
        <f>(E5+E6+E7+E8+E9+E10+E11+E16+E12+E13+E14+E15)*'سایر مزایا '!$L20</f>
        <v>131791147.94999999</v>
      </c>
      <c r="F17" s="291">
        <f>(F5+F6+F7+F8+F9+F10+F11+F16+F12+F13+F14+F15)*'سایر مزایا '!$L20</f>
        <v>131791147.94999999</v>
      </c>
      <c r="G17" s="291">
        <f>(G5+G6+G7+G8+G9+G10+G11+G16+G12+G13+G14+G15)*'سایر مزایا '!$L20</f>
        <v>131791147.94999999</v>
      </c>
      <c r="H17" s="291">
        <f>(H5+H6+H7+H8+H9+H10+H11+H16+H12+H13+H14+H15)*'سایر مزایا '!$L20</f>
        <v>131791147.94999999</v>
      </c>
      <c r="I17" s="291">
        <f>(I5+I6+I7+I8+I9+I10+I11+I16+I12+I13+I14+I15)*'سایر مزایا '!$L20</f>
        <v>131791147.94999999</v>
      </c>
      <c r="J17" s="291">
        <f>(J5+J6+J7+J8+J9+J10+J11+J16+J12+J13+J14+J15)*'سایر مزایا '!$L20</f>
        <v>134618917.94999999</v>
      </c>
      <c r="K17" s="291">
        <f>(K5+K6+K7+K8+K9+K10+K11+K16+K12+K13+K14+K15)*'سایر مزایا '!$L20</f>
        <v>73428500.699999988</v>
      </c>
      <c r="L17" s="291">
        <f>(L5+L6+L7+L8+L9+L10+L11+L16+L12+L13+L14+L15)*'سایر مزایا '!$L20</f>
        <v>73428500.699999988</v>
      </c>
      <c r="M17" s="291">
        <f>(M5+M6+M7+M8+M9+M10+M11+M16+M12+M13+M14+M15)*'سایر مزایا '!$L20</f>
        <v>73428500.699999988</v>
      </c>
      <c r="N17" s="291">
        <f>(N5+N6+N7+N8+N9+N10+N11+N16+N12+N13+N14+N15)*'سایر مزایا '!$L20</f>
        <v>73428500.699999988</v>
      </c>
      <c r="O17" s="291">
        <f>(O5+O6+O7+O8+O9+O10+O11+O16+O12+O13+O14+O15)*'سایر مزایا '!$L20</f>
        <v>73428500.699999988</v>
      </c>
      <c r="P17" s="279" t="s">
        <v>542</v>
      </c>
    </row>
    <row r="18" spans="3:16" ht="27" thickBot="1">
      <c r="C18" s="291">
        <f t="shared" si="0"/>
        <v>827639999.99999988</v>
      </c>
      <c r="D18" s="278">
        <f>E5*'سایر مزایا '!L23</f>
        <v>827639999.99999988</v>
      </c>
      <c r="E18" s="291"/>
      <c r="F18" s="291"/>
      <c r="G18" s="291"/>
      <c r="H18" s="291"/>
      <c r="I18" s="291"/>
      <c r="J18" s="291"/>
      <c r="K18" s="291"/>
      <c r="L18" s="291"/>
      <c r="M18" s="291"/>
      <c r="N18" s="291"/>
      <c r="O18" s="291"/>
      <c r="P18" s="279" t="s">
        <v>50</v>
      </c>
    </row>
    <row r="19" spans="3:16" ht="27" thickBot="1">
      <c r="C19" s="281">
        <f>SUM(C5:C18)</f>
        <v>16255585930.649998</v>
      </c>
      <c r="D19" s="281">
        <f t="shared" ref="D19:O19" si="2">SUM(D5:D18)</f>
        <v>3487697157.4499993</v>
      </c>
      <c r="E19" s="281">
        <f t="shared" si="2"/>
        <v>1449702627.4499998</v>
      </c>
      <c r="F19" s="281">
        <f t="shared" si="2"/>
        <v>1449702627.4499998</v>
      </c>
      <c r="G19" s="281">
        <f t="shared" si="2"/>
        <v>1449702627.4499998</v>
      </c>
      <c r="H19" s="281">
        <f t="shared" si="2"/>
        <v>1449702627.4499998</v>
      </c>
      <c r="I19" s="281">
        <f t="shared" si="2"/>
        <v>1449702627.4499998</v>
      </c>
      <c r="J19" s="281">
        <f t="shared" si="2"/>
        <v>1480808097.4499998</v>
      </c>
      <c r="K19" s="281">
        <f t="shared" si="2"/>
        <v>807713507.69999981</v>
      </c>
      <c r="L19" s="281">
        <f t="shared" si="2"/>
        <v>807713507.69999981</v>
      </c>
      <c r="M19" s="281">
        <f t="shared" si="2"/>
        <v>807713507.69999981</v>
      </c>
      <c r="N19" s="281">
        <f t="shared" si="2"/>
        <v>807713507.69999981</v>
      </c>
      <c r="O19" s="281">
        <f t="shared" si="2"/>
        <v>807713507.69999981</v>
      </c>
      <c r="P19" s="281" t="s">
        <v>309</v>
      </c>
    </row>
    <row r="20" spans="3:16" ht="31.5" customHeight="1" thickBot="1">
      <c r="C20" s="282">
        <f>IF('سایر مزایا '!$L19=1,C19,C19-C18)</f>
        <v>15427945930.649998</v>
      </c>
      <c r="D20" s="282">
        <f>IF('سایر مزایا '!$L19=1,D19,D19-D18)</f>
        <v>2660057157.4499993</v>
      </c>
      <c r="E20" s="282">
        <f>IF('سایر مزایا '!$L19=1,E19,E19-E18)</f>
        <v>1449702627.4499998</v>
      </c>
      <c r="F20" s="282">
        <f>IF('سایر مزایا '!$L19=1,F19,F19-F18)</f>
        <v>1449702627.4499998</v>
      </c>
      <c r="G20" s="282">
        <f>IF('سایر مزایا '!$L19=1,G19,G19-G18)</f>
        <v>1449702627.4499998</v>
      </c>
      <c r="H20" s="282">
        <f>IF('سایر مزایا '!$L19=1,H19,H19-H18)</f>
        <v>1449702627.4499998</v>
      </c>
      <c r="I20" s="282">
        <f>IF('سایر مزایا '!$L19=1,I19,I19-I18)</f>
        <v>1449702627.4499998</v>
      </c>
      <c r="J20" s="282">
        <f>IF('سایر مزایا '!$L19=1,J19,J19-J18)</f>
        <v>1480808097.4499998</v>
      </c>
      <c r="K20" s="282">
        <f>IF('سایر مزایا '!$L19=1,K19,K19-K18)</f>
        <v>807713507.69999981</v>
      </c>
      <c r="L20" s="282">
        <f>IF('سایر مزایا '!$L19=1,L19,L19-L18)</f>
        <v>807713507.69999981</v>
      </c>
      <c r="M20" s="282">
        <f>IF('سایر مزایا '!$L19=1,M19,M19-M18)</f>
        <v>807713507.69999981</v>
      </c>
      <c r="N20" s="282">
        <f>IF('سایر مزایا '!$L19=1,N19,N19-N18)</f>
        <v>807713507.69999981</v>
      </c>
      <c r="O20" s="282">
        <f>IF('سایر مزایا '!$L19=1,O19,O19-O18)</f>
        <v>807713507.69999981</v>
      </c>
      <c r="P20" s="282" t="s">
        <v>51</v>
      </c>
    </row>
  </sheetData>
  <mergeCells count="1">
    <mergeCell ref="F2:P2"/>
  </mergeCells>
  <hyperlinks>
    <hyperlink ref="F2:P2" r:id="rId1" location="'فهرست مطالب'!A1" display="دستمزد مستقیم تولیدی در سال بودجه          1300"/>
  </hyperlinks>
  <pageMargins left="0.7" right="0.7" top="0.75" bottom="0.75" header="0.3" footer="0.3"/>
  <pageSetup paperSize="9" orientation="portrait" horizontalDpi="300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32</vt:i4>
      </vt:variant>
    </vt:vector>
  </HeadingPairs>
  <TitlesOfParts>
    <vt:vector size="32" baseType="lpstr">
      <vt:lpstr>فهرست مطالب</vt:lpstr>
      <vt:lpstr>فروش - محصول A</vt:lpstr>
      <vt:lpstr>فروش محصول B</vt:lpstr>
      <vt:lpstr>فروش محصول C</vt:lpstr>
      <vt:lpstr>فروش محصولات </vt:lpstr>
      <vt:lpstr>گردش قیمت تمام شده - محصولات</vt:lpstr>
      <vt:lpstr>هزینه سربار تولیدی </vt:lpstr>
      <vt:lpstr>هزینه اداری </vt:lpstr>
      <vt:lpstr>دستمزد مستقیم</vt:lpstr>
      <vt:lpstr>دستمزد پروژه </vt:lpstr>
      <vt:lpstr>توزیع و فروش </vt:lpstr>
      <vt:lpstr>جدول دارایی های ثابت مشهود </vt:lpstr>
      <vt:lpstr>سود و زیان </vt:lpstr>
      <vt:lpstr>ترازنامه</vt:lpstr>
      <vt:lpstr>گردش جریان وجه نقد</vt:lpstr>
      <vt:lpstr>اطاعات تفصیلی سال قبل</vt:lpstr>
      <vt:lpstr>bom</vt:lpstr>
      <vt:lpstr>یاداشت های سال قبل</vt:lpstr>
      <vt:lpstr>گردش توليد و مواد ( A)</vt:lpstr>
      <vt:lpstr>گردش توليد و مواد B</vt:lpstr>
      <vt:lpstr>گردش توليد و مواد C</vt:lpstr>
      <vt:lpstr>جدول نقدینگی - خرید کل </vt:lpstr>
      <vt:lpstr>نیاز مواد اولیه - مقادیر</vt:lpstr>
      <vt:lpstr>نسبت های مالی </vt:lpstr>
      <vt:lpstr>وام </vt:lpstr>
      <vt:lpstr>مراکز هزینه پرسنل</vt:lpstr>
      <vt:lpstr>محاسبه پایه حقوقی</vt:lpstr>
      <vt:lpstr>محاسبه اضافه کاری</vt:lpstr>
      <vt:lpstr>سایر مزایا </vt:lpstr>
      <vt:lpstr>موجودی کالا</vt:lpstr>
      <vt:lpstr>جریان وجه نقد استاندارد</vt:lpstr>
      <vt:lpstr>بیمه اموال و دارایی ها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b.soltani</dc:creator>
  <cp:lastModifiedBy>Aria TM</cp:lastModifiedBy>
  <cp:lastPrinted>2009-12-17T07:06:12Z</cp:lastPrinted>
  <dcterms:created xsi:type="dcterms:W3CDTF">2009-04-24T18:49:59Z</dcterms:created>
  <dcterms:modified xsi:type="dcterms:W3CDTF">2018-02-18T07:36:44Z</dcterms:modified>
</cp:coreProperties>
</file>